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431" windowWidth="9720" windowHeight="7320" activeTab="0"/>
  </bookViews>
  <sheets>
    <sheet name="regioni ob 2,5b e 1" sheetId="1" r:id="rId1"/>
  </sheets>
  <definedNames>
    <definedName name="_xlnm.Print_Titles" localSheetId="0">'regioni ob 2,5b e 1'!$2:$3</definedName>
  </definedNames>
  <calcPr fullCalcOnLoad="1"/>
</workbook>
</file>

<file path=xl/sharedStrings.xml><?xml version="1.0" encoding="utf-8"?>
<sst xmlns="http://schemas.openxmlformats.org/spreadsheetml/2006/main" count="228" uniqueCount="169">
  <si>
    <t>Piemonte</t>
  </si>
  <si>
    <t>Valle d'Aosta</t>
  </si>
  <si>
    <t>Lombardia</t>
  </si>
  <si>
    <t>Trentino AA</t>
  </si>
  <si>
    <t>Veneto</t>
  </si>
  <si>
    <t>Friuli V.Giulia</t>
  </si>
  <si>
    <t>Liguria</t>
  </si>
  <si>
    <t>Emilia Romagna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</si>
  <si>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</si>
  <si>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</si>
  <si>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</si>
  <si>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</si>
  <si>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</si>
  <si>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</si>
  <si>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</si>
  <si>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</si>
  <si>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</si>
  <si>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</si>
  <si>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</si>
  <si>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Marche</t>
  </si>
  <si>
    <t>Regione</t>
  </si>
  <si>
    <t>Provincia</t>
  </si>
  <si>
    <t>Alessandria</t>
  </si>
  <si>
    <t>Asti</t>
  </si>
  <si>
    <t>Cuneo</t>
  </si>
  <si>
    <t>Verbania</t>
  </si>
  <si>
    <t>Novara</t>
  </si>
  <si>
    <t>Torino</t>
  </si>
  <si>
    <t>Vercelli</t>
  </si>
  <si>
    <t>Biella</t>
  </si>
  <si>
    <t>Aosta</t>
  </si>
  <si>
    <t>Bergamo</t>
  </si>
  <si>
    <t>Lecco</t>
  </si>
  <si>
    <t>Cremona</t>
  </si>
  <si>
    <t>Mantova</t>
  </si>
  <si>
    <t>Lodi</t>
  </si>
  <si>
    <t>Sondrio</t>
  </si>
  <si>
    <t>Brescia</t>
  </si>
  <si>
    <t>Como</t>
  </si>
  <si>
    <t>Milano</t>
  </si>
  <si>
    <t>Pavia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</si>
  <si>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</si>
  <si>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</si>
  <si>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</si>
  <si>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</si>
  <si>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</si>
  <si>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</si>
  <si>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</si>
  <si>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</si>
  <si>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</si>
  <si>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</si>
  <si>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</si>
  <si>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</si>
  <si>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</si>
  <si>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</si>
  <si>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</si>
  <si>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</si>
  <si>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</si>
  <si>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</si>
  <si>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</si>
  <si>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</si>
  <si>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Forlì</t>
  </si>
  <si>
    <t>Modena</t>
  </si>
  <si>
    <t>Parma</t>
  </si>
  <si>
    <t>Piacenza</t>
  </si>
  <si>
    <t>Ravenna</t>
  </si>
  <si>
    <t>Rimini</t>
  </si>
  <si>
    <t>Reggio Emilia</t>
  </si>
  <si>
    <t>Perugia</t>
  </si>
  <si>
    <t>Terni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</si>
  <si>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</si>
  <si>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</si>
  <si>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</si>
  <si>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</si>
  <si>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</si>
  <si>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</si>
  <si>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</si>
  <si>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</si>
  <si>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</si>
  <si>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</si>
  <si>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Ancona</t>
  </si>
  <si>
    <t>Ascoli Piceno</t>
  </si>
  <si>
    <t>Pesaro</t>
  </si>
  <si>
    <t>Macerata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</si>
  <si>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</si>
  <si>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</si>
  <si>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</si>
  <si>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</si>
  <si>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</si>
  <si>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</si>
  <si>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</si>
  <si>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</si>
  <si>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</si>
  <si>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</si>
  <si>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</si>
  <si>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</si>
  <si>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</si>
  <si>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</si>
  <si>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</si>
  <si>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</si>
  <si>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</si>
  <si>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</si>
  <si>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</si>
  <si>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</si>
  <si>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</si>
  <si>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</si>
  <si>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</si>
  <si>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Crotone</t>
  </si>
  <si>
    <t>Catanzaro</t>
  </si>
  <si>
    <t>Vibo Valentia</t>
  </si>
  <si>
    <t>Cosenza</t>
  </si>
  <si>
    <t>Reggio Calabria</t>
  </si>
  <si>
    <t>Agrigento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</si>
  <si>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</si>
  <si>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</si>
  <si>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</si>
  <si>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</si>
  <si>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</si>
  <si>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</si>
  <si>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</si>
  <si>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</si>
  <si>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</si>
  <si>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</si>
  <si>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</si>
  <si>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Totali:</t>
  </si>
  <si>
    <t>n° 8</t>
  </si>
  <si>
    <r>
      <t xml:space="preserve">Percentuale strade %                      -                                         -                                                          -                </t>
    </r>
    <r>
      <rPr>
        <b/>
        <sz val="10"/>
        <rFont val="Arial"/>
        <family val="2"/>
      </rPr>
      <t>Col. N° 5</t>
    </r>
  </si>
  <si>
    <t xml:space="preserve">Assegnazione teorica (lunghezza strade)         </t>
  </si>
  <si>
    <t xml:space="preserve">Assegnazione teorica (tasso di disoccupazione) e PIL                </t>
  </si>
  <si>
    <r>
      <t xml:space="preserve">Quota 200 Mld. già assegnata         -                           -                </t>
    </r>
    <r>
      <rPr>
        <b/>
        <sz val="10"/>
        <rFont val="Arial"/>
        <family val="2"/>
      </rPr>
      <t>Col. n° 7</t>
    </r>
  </si>
  <si>
    <r>
      <t xml:space="preserve">Proposta interventi assegnazione 1^ fase                                                -                         </t>
    </r>
    <r>
      <rPr>
        <b/>
        <sz val="10"/>
        <rFont val="Arial"/>
        <family val="2"/>
      </rPr>
      <t>Col. N° 12</t>
    </r>
  </si>
  <si>
    <t>n° 1</t>
  </si>
  <si>
    <t>Regioni OB. 2 ed OB. 5b</t>
  </si>
  <si>
    <t>n° 11</t>
  </si>
  <si>
    <r>
      <t xml:space="preserve">Ulteriore quota 206 Mld. (teorica)              -                               </t>
    </r>
    <r>
      <rPr>
        <b/>
        <sz val="10"/>
        <rFont val="Arial"/>
        <family val="2"/>
      </rPr>
      <t>Col. n° 8</t>
    </r>
  </si>
  <si>
    <r>
      <t xml:space="preserve">Cofinan-    ziamento Provincie              -                                         -                        </t>
    </r>
    <r>
      <rPr>
        <b/>
        <sz val="10"/>
        <rFont val="Arial"/>
        <family val="2"/>
      </rPr>
      <t>Col. N° 11</t>
    </r>
  </si>
  <si>
    <t>n° 2</t>
  </si>
  <si>
    <r>
      <t xml:space="preserve">Popolazione residente al 31.12.96 (%)      </t>
    </r>
    <r>
      <rPr>
        <b/>
        <sz val="10"/>
        <rFont val="Arial"/>
        <family val="2"/>
      </rPr>
      <t xml:space="preserve">                -                               -                   Col.  n° 1</t>
    </r>
  </si>
  <si>
    <r>
      <t xml:space="preserve">Tassi di disoccupa- zione % Luglio 98               -                          </t>
    </r>
    <r>
      <rPr>
        <b/>
        <sz val="10"/>
        <rFont val="Arial"/>
        <family val="2"/>
      </rPr>
      <t xml:space="preserve">  Col. n° 2</t>
    </r>
  </si>
  <si>
    <r>
      <t xml:space="preserve">Nuova assegna-     zione                                -                           -                  </t>
    </r>
    <r>
      <rPr>
        <b/>
        <sz val="10"/>
        <rFont val="Arial"/>
        <family val="2"/>
      </rPr>
      <t>Col n.° 9</t>
    </r>
  </si>
  <si>
    <r>
      <t xml:space="preserve">Percentuale su popolazione disoccupati e PIL                               -                     </t>
    </r>
    <r>
      <rPr>
        <b/>
        <sz val="10"/>
        <rFont val="Arial"/>
        <family val="2"/>
      </rPr>
      <t>Col. n°3</t>
    </r>
  </si>
  <si>
    <r>
      <t xml:space="preserve">Assegna- zione      comples-        siva                     -                    </t>
    </r>
    <r>
      <rPr>
        <b/>
        <sz val="10"/>
        <rFont val="Arial"/>
        <family val="2"/>
      </rPr>
      <t>Col. N° 10</t>
    </r>
  </si>
  <si>
    <t>n° 7</t>
  </si>
  <si>
    <t>n° 4</t>
  </si>
  <si>
    <t>N.P.</t>
  </si>
  <si>
    <t>N.D.</t>
  </si>
  <si>
    <t>N.O.</t>
  </si>
  <si>
    <t>N.R.</t>
  </si>
  <si>
    <t>L.   67/88</t>
  </si>
  <si>
    <t>N.I.</t>
  </si>
  <si>
    <t>n° 9</t>
  </si>
  <si>
    <t>n° 10</t>
  </si>
  <si>
    <t>L. 67/88</t>
  </si>
  <si>
    <t>n° 5</t>
  </si>
  <si>
    <t>n° 61</t>
  </si>
  <si>
    <t>Regioni OB. 1</t>
  </si>
  <si>
    <t>Caltanissetta</t>
  </si>
  <si>
    <t>TOTALE GENERALE:</t>
  </si>
  <si>
    <t>n° 6</t>
  </si>
  <si>
    <t>TOT. REG. OB. 1</t>
  </si>
  <si>
    <t>n° 36</t>
  </si>
  <si>
    <t>TOTALE:</t>
  </si>
  <si>
    <t>n° 103</t>
  </si>
  <si>
    <r>
      <t xml:space="preserve">Lunghezza strade provinciali Km. Genn. 96             -                    </t>
    </r>
    <r>
      <rPr>
        <b/>
        <sz val="10"/>
        <rFont val="Arial"/>
        <family val="2"/>
      </rPr>
      <t>Col. N° 4</t>
    </r>
  </si>
  <si>
    <t>-</t>
  </si>
  <si>
    <r>
      <t xml:space="preserve">Assegnazione teorica (lunghezza strade e tasso disoccupazione)                                       -                                                  -                                         </t>
    </r>
    <r>
      <rPr>
        <b/>
        <sz val="10"/>
        <rFont val="Arial"/>
        <family val="2"/>
      </rPr>
      <t>Col. n° 6</t>
    </r>
  </si>
  <si>
    <t>N.B.</t>
  </si>
  <si>
    <t xml:space="preserve">Devesi far presente che la proposta di ripartizione approvata dalla Conferenza Stato-Regioni è stata formulata sulla base di un importo pari a 206.915 miliardi derivanti, </t>
  </si>
  <si>
    <t>quanto a 200 mld. dalle risorse ex lege 641/96 e quanto a 6.915 mld. dalle revoche effettuate da Questo Ministero sui fondi ex lege 341/95 e 549/95 (L'Aquila £. 900.000.000; Foggia £. 3.000.000.000; Messina £. 485.000.000; Taranto £. 2.530.000.000).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</si>
</sst>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00"/>
    <numFmt numFmtId="166" formatCode="#,##0;[Red]#,##0"/>
    <numFmt numFmtId="167" formatCode="#,##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;[Red]#,##0.00"/>
    <numFmt numFmtId="174" formatCode="0;[Red]0"/>
    <numFmt numFmtId="175" formatCode="#,##0.0000"/>
    <numFmt numFmtId="176" formatCode="0.0E+00;\㐘"/>
    <numFmt numFmtId="177" formatCode="0.0E+00;\ឬ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Comic Sans MS"/>
      <family val="4"/>
    </font>
    <font>
      <b/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 wrapText="1"/>
    </xf>
    <xf numFmtId="3" fontId="0" fillId="0" borderId="3" xfId="0" applyNumberForma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167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2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/>
    </xf>
    <xf numFmtId="2" fontId="0" fillId="2" borderId="7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1" fillId="2" borderId="7" xfId="0" applyFont="1" applyFill="1" applyBorder="1" applyAlignment="1">
      <alignment/>
    </xf>
    <xf numFmtId="165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3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166" fontId="0" fillId="0" borderId="4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2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/>
    </xf>
    <xf numFmtId="4" fontId="0" fillId="2" borderId="2" xfId="0" applyNumberFormat="1" applyFill="1" applyBorder="1" applyAlignment="1">
      <alignment/>
    </xf>
    <xf numFmtId="173" fontId="5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1" fillId="2" borderId="8" xfId="0" applyFont="1" applyFill="1" applyBorder="1" applyAlignment="1">
      <alignment/>
    </xf>
    <xf numFmtId="2" fontId="0" fillId="2" borderId="8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9" xfId="0" applyFont="1" applyBorder="1" applyAlignment="1">
      <alignment/>
    </xf>
    <xf numFmtId="3" fontId="0" fillId="2" borderId="10" xfId="0" applyNumberFormat="1" applyFill="1" applyBorder="1" applyAlignment="1">
      <alignment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/>
    </xf>
    <xf numFmtId="2" fontId="0" fillId="2" borderId="12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2" xfId="0" applyNumberFormat="1" applyFill="1" applyBorder="1" applyAlignment="1">
      <alignment horizontal="right"/>
    </xf>
    <xf numFmtId="0" fontId="0" fillId="2" borderId="13" xfId="0" applyFill="1" applyBorder="1" applyAlignment="1">
      <alignment/>
    </xf>
    <xf numFmtId="167" fontId="0" fillId="2" borderId="12" xfId="0" applyNumberFormat="1" applyFill="1" applyBorder="1" applyAlignment="1">
      <alignment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2" fontId="7" fillId="2" borderId="15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165" fontId="7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3" fontId="7" fillId="2" borderId="18" xfId="0" applyNumberFormat="1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3" fontId="0" fillId="0" borderId="21" xfId="0" applyNumberFormat="1" applyBorder="1" applyAlignment="1">
      <alignment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/>
    </xf>
    <xf numFmtId="2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1" fillId="2" borderId="12" xfId="0" applyFont="1" applyFill="1" applyBorder="1" applyAlignment="1">
      <alignment wrapText="1"/>
    </xf>
    <xf numFmtId="0" fontId="0" fillId="2" borderId="22" xfId="0" applyFill="1" applyBorder="1" applyAlignment="1">
      <alignment/>
    </xf>
    <xf numFmtId="0" fontId="1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/>
    </xf>
    <xf numFmtId="2" fontId="0" fillId="2" borderId="23" xfId="0" applyNumberFormat="1" applyFill="1" applyBorder="1" applyAlignment="1">
      <alignment/>
    </xf>
    <xf numFmtId="3" fontId="0" fillId="2" borderId="23" xfId="0" applyNumberFormat="1" applyFill="1" applyBorder="1" applyAlignment="1">
      <alignment/>
    </xf>
    <xf numFmtId="165" fontId="0" fillId="2" borderId="23" xfId="0" applyNumberFormat="1" applyFill="1" applyBorder="1" applyAlignment="1">
      <alignment/>
    </xf>
    <xf numFmtId="0" fontId="0" fillId="2" borderId="23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2" borderId="24" xfId="0" applyFill="1" applyBorder="1" applyAlignment="1">
      <alignment/>
    </xf>
    <xf numFmtId="2" fontId="0" fillId="2" borderId="24" xfId="0" applyNumberFormat="1" applyFill="1" applyBorder="1" applyAlignment="1">
      <alignment/>
    </xf>
    <xf numFmtId="0" fontId="0" fillId="2" borderId="24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2" borderId="25" xfId="0" applyFont="1" applyFill="1" applyBorder="1" applyAlignment="1">
      <alignment/>
    </xf>
    <xf numFmtId="2" fontId="0" fillId="2" borderId="25" xfId="0" applyNumberFormat="1" applyFill="1" applyBorder="1" applyAlignment="1">
      <alignment/>
    </xf>
    <xf numFmtId="164" fontId="0" fillId="2" borderId="25" xfId="0" applyNumberFormat="1" applyFill="1" applyBorder="1" applyAlignment="1">
      <alignment/>
    </xf>
    <xf numFmtId="165" fontId="0" fillId="2" borderId="25" xfId="0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2" borderId="25" xfId="0" applyNumberFormat="1" applyFill="1" applyBorder="1" applyAlignment="1">
      <alignment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right" vertical="center"/>
    </xf>
    <xf numFmtId="2" fontId="2" fillId="4" borderId="5" xfId="0" applyNumberFormat="1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/>
    </xf>
    <xf numFmtId="3" fontId="1" fillId="0" borderId="2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8" fillId="4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0" fontId="2" fillId="4" borderId="5" xfId="0" applyFont="1" applyFill="1" applyBorder="1" applyAlignment="1">
      <alignment horizontal="right"/>
    </xf>
    <xf numFmtId="2" fontId="2" fillId="4" borderId="5" xfId="0" applyNumberFormat="1" applyFont="1" applyFill="1" applyBorder="1" applyAlignment="1">
      <alignment/>
    </xf>
    <xf numFmtId="4" fontId="2" fillId="4" borderId="5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3" fontId="1" fillId="4" borderId="5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  <xf numFmtId="167" fontId="0" fillId="0" borderId="4" xfId="0" applyNumberFormat="1" applyBorder="1" applyAlignment="1">
      <alignment/>
    </xf>
    <xf numFmtId="0" fontId="10" fillId="0" borderId="0" xfId="0" applyFont="1" applyAlignment="1">
      <alignment/>
    </xf>
    <xf numFmtId="167" fontId="1" fillId="0" borderId="5" xfId="0" applyNumberFormat="1" applyFont="1" applyBorder="1" applyAlignment="1">
      <alignment/>
    </xf>
    <xf numFmtId="167" fontId="2" fillId="4" borderId="5" xfId="0" applyNumberFormat="1" applyFont="1" applyFill="1" applyBorder="1" applyAlignment="1">
      <alignment/>
    </xf>
    <xf numFmtId="0" fontId="1" fillId="2" borderId="26" xfId="0" applyFont="1" applyFill="1" applyBorder="1" applyAlignment="1">
      <alignment vertical="top" wrapText="1"/>
    </xf>
    <xf numFmtId="0" fontId="0" fillId="2" borderId="27" xfId="0" applyFill="1" applyBorder="1" applyAlignment="1">
      <alignment/>
    </xf>
    <xf numFmtId="3" fontId="0" fillId="2" borderId="28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41" fontId="0" fillId="0" borderId="0" xfId="16" applyBorder="1" applyAlignment="1">
      <alignment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164" fontId="0" fillId="4" borderId="0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4" borderId="29" xfId="0" applyFill="1" applyBorder="1" applyAlignment="1">
      <alignment/>
    </xf>
    <xf numFmtId="0" fontId="1" fillId="2" borderId="30" xfId="0" applyFont="1" applyFill="1" applyBorder="1" applyAlignment="1">
      <alignment vertical="top" wrapText="1"/>
    </xf>
    <xf numFmtId="0" fontId="0" fillId="2" borderId="31" xfId="0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9" fillId="4" borderId="34" xfId="0" applyFont="1" applyFill="1" applyBorder="1" applyAlignment="1">
      <alignment wrapText="1"/>
    </xf>
    <xf numFmtId="0" fontId="9" fillId="4" borderId="35" xfId="0" applyFont="1" applyFill="1" applyBorder="1" applyAlignment="1">
      <alignment horizontal="right"/>
    </xf>
    <xf numFmtId="2" fontId="9" fillId="4" borderId="35" xfId="0" applyNumberFormat="1" applyFont="1" applyFill="1" applyBorder="1" applyAlignment="1" quotePrefix="1">
      <alignment horizontal="center"/>
    </xf>
    <xf numFmtId="0" fontId="9" fillId="4" borderId="35" xfId="0" applyFont="1" applyFill="1" applyBorder="1" applyAlignment="1" quotePrefix="1">
      <alignment horizontal="center"/>
    </xf>
    <xf numFmtId="3" fontId="9" fillId="4" borderId="35" xfId="0" applyNumberFormat="1" applyFont="1" applyFill="1" applyBorder="1" applyAlignment="1">
      <alignment/>
    </xf>
    <xf numFmtId="3" fontId="1" fillId="4" borderId="35" xfId="0" applyNumberFormat="1" applyFont="1" applyFill="1" applyBorder="1" applyAlignment="1">
      <alignment/>
    </xf>
    <xf numFmtId="3" fontId="2" fillId="4" borderId="35" xfId="0" applyNumberFormat="1" applyFont="1" applyFill="1" applyBorder="1" applyAlignment="1">
      <alignment/>
    </xf>
    <xf numFmtId="167" fontId="2" fillId="4" borderId="36" xfId="0" applyNumberFormat="1" applyFont="1" applyFill="1" applyBorder="1" applyAlignment="1">
      <alignment/>
    </xf>
    <xf numFmtId="164" fontId="0" fillId="4" borderId="37" xfId="0" applyNumberFormat="1" applyFill="1" applyBorder="1" applyAlignment="1">
      <alignment/>
    </xf>
    <xf numFmtId="165" fontId="0" fillId="4" borderId="37" xfId="0" applyNumberFormat="1" applyFill="1" applyBorder="1" applyAlignment="1">
      <alignment/>
    </xf>
    <xf numFmtId="0" fontId="0" fillId="4" borderId="37" xfId="0" applyFill="1" applyBorder="1" applyAlignment="1">
      <alignment/>
    </xf>
    <xf numFmtId="3" fontId="0" fillId="4" borderId="37" xfId="0" applyNumberFormat="1" applyFill="1" applyBorder="1" applyAlignment="1">
      <alignment/>
    </xf>
    <xf numFmtId="0" fontId="0" fillId="4" borderId="38" xfId="0" applyFill="1" applyBorder="1" applyAlignment="1">
      <alignment/>
    </xf>
    <xf numFmtId="0" fontId="0" fillId="4" borderId="8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0" fontId="3" fillId="4" borderId="39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="75" zoomScaleNormal="75" workbookViewId="0" topLeftCell="A1">
      <selection activeCell="C188" sqref="C188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12.57421875" style="8" customWidth="1"/>
    <col min="4" max="4" width="10.421875" style="8" customWidth="1"/>
    <col min="5" max="5" width="13.00390625" style="0" bestFit="1" customWidth="1"/>
    <col min="6" max="6" width="12.421875" style="0" customWidth="1"/>
    <col min="7" max="7" width="11.00390625" style="0" customWidth="1"/>
    <col min="8" max="9" width="18.00390625" style="0" hidden="1" customWidth="1"/>
    <col min="10" max="10" width="19.7109375" style="0" customWidth="1"/>
    <col min="11" max="11" width="10.28125" style="0" customWidth="1"/>
    <col min="12" max="12" width="10.00390625" style="0" customWidth="1"/>
    <col min="13" max="13" width="10.140625" style="0" customWidth="1"/>
    <col min="14" max="14" width="11.57421875" style="0" customWidth="1"/>
    <col min="15" max="15" width="9.8515625" style="0" customWidth="1"/>
    <col min="16" max="16" width="12.00390625" style="0" customWidth="1"/>
  </cols>
  <sheetData>
    <row r="1" spans="1:16" s="214" customFormat="1" ht="30.75" customHeight="1" thickBot="1">
      <c r="A1" s="217" t="s">
        <v>132</v>
      </c>
      <c r="B1" s="218"/>
      <c r="C1" s="218"/>
      <c r="D1" s="218"/>
      <c r="E1" s="209"/>
      <c r="F1" s="210"/>
      <c r="G1" s="211"/>
      <c r="H1" s="212"/>
      <c r="I1" s="212"/>
      <c r="J1" s="212"/>
      <c r="K1" s="211"/>
      <c r="L1" s="212"/>
      <c r="M1" s="211"/>
      <c r="N1" s="211"/>
      <c r="O1" s="211"/>
      <c r="P1" s="213"/>
    </row>
    <row r="2" spans="1:16" s="66" customFormat="1" ht="5.25" customHeight="1" thickBot="1">
      <c r="A2" s="183"/>
      <c r="B2" s="151"/>
      <c r="C2" s="152"/>
      <c r="D2" s="152"/>
      <c r="E2" s="153"/>
      <c r="F2" s="154"/>
      <c r="G2" s="155"/>
      <c r="H2" s="156"/>
      <c r="I2" s="156"/>
      <c r="J2" s="156"/>
      <c r="K2" s="155"/>
      <c r="L2" s="156"/>
      <c r="M2" s="155"/>
      <c r="N2" s="155"/>
      <c r="O2" s="155"/>
      <c r="P2" s="184"/>
    </row>
    <row r="3" spans="1:16" ht="85.5" customHeight="1">
      <c r="A3" s="85" t="s">
        <v>20</v>
      </c>
      <c r="B3" s="16" t="s">
        <v>21</v>
      </c>
      <c r="C3" s="19" t="s">
        <v>137</v>
      </c>
      <c r="D3" s="19" t="s">
        <v>138</v>
      </c>
      <c r="E3" s="18" t="s">
        <v>140</v>
      </c>
      <c r="F3" s="20" t="s">
        <v>163</v>
      </c>
      <c r="G3" s="17" t="s">
        <v>126</v>
      </c>
      <c r="H3" s="21" t="s">
        <v>128</v>
      </c>
      <c r="I3" s="21" t="s">
        <v>127</v>
      </c>
      <c r="J3" s="21" t="s">
        <v>165</v>
      </c>
      <c r="K3" s="17" t="s">
        <v>129</v>
      </c>
      <c r="L3" s="21" t="s">
        <v>134</v>
      </c>
      <c r="M3" s="17" t="s">
        <v>139</v>
      </c>
      <c r="N3" s="21" t="s">
        <v>141</v>
      </c>
      <c r="O3" s="21" t="s">
        <v>135</v>
      </c>
      <c r="P3" s="21" t="s">
        <v>130</v>
      </c>
    </row>
    <row r="4" spans="1:16" ht="17.25" customHeight="1">
      <c r="A4" s="10" t="s">
        <v>0</v>
      </c>
      <c r="B4" s="11"/>
      <c r="C4" s="13"/>
      <c r="D4" s="13"/>
      <c r="E4" s="12"/>
      <c r="F4" s="14"/>
      <c r="G4" s="13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25"/>
      <c r="B5" s="11" t="s">
        <v>22</v>
      </c>
      <c r="C5" s="13">
        <v>2.93</v>
      </c>
      <c r="D5" s="13">
        <v>2.94</v>
      </c>
      <c r="E5" s="24">
        <v>2.96</v>
      </c>
      <c r="F5" s="12">
        <v>1768.617</v>
      </c>
      <c r="G5" s="13">
        <v>3.12</v>
      </c>
      <c r="H5" s="12">
        <v>1185000000</v>
      </c>
      <c r="I5" s="12">
        <v>1247055912</v>
      </c>
      <c r="J5" s="12">
        <f aca="true" t="shared" si="0" ref="J5:J71">SUM((H5+I5)/2)</f>
        <v>1216027956</v>
      </c>
      <c r="K5" s="12">
        <v>2600</v>
      </c>
      <c r="L5" s="12">
        <f aca="true" t="shared" si="1" ref="L5:L13">SUM((J5/1000000)-K5)</f>
        <v>-1383.972044</v>
      </c>
      <c r="M5" s="12">
        <v>0</v>
      </c>
      <c r="N5" s="12">
        <f>SUM(K5+M5)</f>
        <v>2600</v>
      </c>
      <c r="O5" s="12"/>
      <c r="P5" s="12"/>
    </row>
    <row r="6" spans="1:16" ht="12.75">
      <c r="A6" s="116"/>
      <c r="B6" s="11" t="s">
        <v>23</v>
      </c>
      <c r="C6" s="13">
        <v>2.93</v>
      </c>
      <c r="D6" s="13">
        <v>2.94</v>
      </c>
      <c r="E6" s="24">
        <v>2.96</v>
      </c>
      <c r="F6" s="12">
        <v>1162.65</v>
      </c>
      <c r="G6" s="13">
        <v>2.05</v>
      </c>
      <c r="H6" s="12">
        <v>1185000000</v>
      </c>
      <c r="I6" s="12">
        <v>819787187</v>
      </c>
      <c r="J6" s="12">
        <f t="shared" si="0"/>
        <v>1002393593.5</v>
      </c>
      <c r="K6" s="12">
        <v>2990</v>
      </c>
      <c r="L6" s="12">
        <f t="shared" si="1"/>
        <v>-1987.6064065</v>
      </c>
      <c r="M6" s="12">
        <v>0</v>
      </c>
      <c r="N6" s="12">
        <f>SUM(K6+M6)</f>
        <v>2990</v>
      </c>
      <c r="O6" s="12"/>
      <c r="P6" s="12"/>
    </row>
    <row r="7" spans="1:16" ht="12.75">
      <c r="A7" s="116"/>
      <c r="B7" s="11" t="s">
        <v>24</v>
      </c>
      <c r="C7" s="13">
        <v>2.93</v>
      </c>
      <c r="D7" s="13">
        <v>2.94</v>
      </c>
      <c r="E7" s="24">
        <v>2.96</v>
      </c>
      <c r="F7" s="12">
        <v>2806.438</v>
      </c>
      <c r="G7" s="13">
        <v>4.95</v>
      </c>
      <c r="H7" s="12">
        <v>1185000000</v>
      </c>
      <c r="I7" s="12">
        <v>1978825884</v>
      </c>
      <c r="J7" s="12">
        <f t="shared" si="0"/>
        <v>1581912942</v>
      </c>
      <c r="K7" s="12">
        <v>2889</v>
      </c>
      <c r="L7" s="12">
        <f t="shared" si="1"/>
        <v>-1307.087058</v>
      </c>
      <c r="M7" s="12">
        <v>0</v>
      </c>
      <c r="N7" s="12">
        <f>SUM(K7+M7)</f>
        <v>2889</v>
      </c>
      <c r="O7" s="12"/>
      <c r="P7" s="12"/>
    </row>
    <row r="8" spans="1:16" ht="12.75">
      <c r="A8" s="116"/>
      <c r="B8" s="11" t="s">
        <v>25</v>
      </c>
      <c r="C8" s="13">
        <v>2.93</v>
      </c>
      <c r="D8" s="13">
        <v>2.94</v>
      </c>
      <c r="E8" s="24">
        <v>2.96</v>
      </c>
      <c r="F8" s="12">
        <v>467.007</v>
      </c>
      <c r="G8" s="13">
        <v>0.82</v>
      </c>
      <c r="H8" s="12">
        <v>1185000000</v>
      </c>
      <c r="I8" s="12">
        <v>329287709</v>
      </c>
      <c r="J8" s="12">
        <f t="shared" si="0"/>
        <v>757143854.5</v>
      </c>
      <c r="K8" s="76" t="s">
        <v>144</v>
      </c>
      <c r="L8" s="12">
        <v>757</v>
      </c>
      <c r="M8" s="12">
        <v>600</v>
      </c>
      <c r="N8" s="12">
        <v>600</v>
      </c>
      <c r="O8" s="12"/>
      <c r="P8" s="12">
        <v>600</v>
      </c>
    </row>
    <row r="9" spans="1:16" ht="12.75">
      <c r="A9" s="116"/>
      <c r="B9" s="11" t="s">
        <v>26</v>
      </c>
      <c r="C9" s="13">
        <v>2.93</v>
      </c>
      <c r="D9" s="13">
        <v>2.94</v>
      </c>
      <c r="E9" s="24">
        <v>2.96</v>
      </c>
      <c r="F9" s="12">
        <v>630.147</v>
      </c>
      <c r="G9" s="13">
        <v>1.11</v>
      </c>
      <c r="H9" s="12">
        <v>1185000000</v>
      </c>
      <c r="I9" s="12">
        <v>444318098</v>
      </c>
      <c r="J9" s="12">
        <f t="shared" si="0"/>
        <v>814659049</v>
      </c>
      <c r="K9" s="12">
        <v>500</v>
      </c>
      <c r="L9" s="12">
        <f t="shared" si="1"/>
        <v>314.659049</v>
      </c>
      <c r="M9" s="12">
        <v>250</v>
      </c>
      <c r="N9" s="12">
        <f>SUM(K9+M9)</f>
        <v>750</v>
      </c>
      <c r="O9" s="12"/>
      <c r="P9" s="12"/>
    </row>
    <row r="10" spans="1:16" ht="12.75">
      <c r="A10" s="116"/>
      <c r="B10" s="11" t="s">
        <v>27</v>
      </c>
      <c r="C10" s="13">
        <v>2.93</v>
      </c>
      <c r="D10" s="13">
        <v>2.94</v>
      </c>
      <c r="E10" s="24">
        <v>2.96</v>
      </c>
      <c r="F10" s="12">
        <v>2724.494</v>
      </c>
      <c r="G10" s="13">
        <v>4.8</v>
      </c>
      <c r="H10" s="12">
        <v>1185000000</v>
      </c>
      <c r="I10" s="12">
        <v>1921046981</v>
      </c>
      <c r="J10" s="12">
        <f t="shared" si="0"/>
        <v>1553023490.5</v>
      </c>
      <c r="K10" s="76" t="s">
        <v>149</v>
      </c>
      <c r="L10" s="12">
        <v>1553</v>
      </c>
      <c r="M10" s="12">
        <v>1200</v>
      </c>
      <c r="N10" s="12">
        <v>1200</v>
      </c>
      <c r="O10" s="12"/>
      <c r="P10" s="12"/>
    </row>
    <row r="11" spans="1:16" ht="12.75">
      <c r="A11" s="116"/>
      <c r="B11" s="11" t="s">
        <v>28</v>
      </c>
      <c r="C11" s="13">
        <v>2.93</v>
      </c>
      <c r="D11" s="13">
        <v>2.94</v>
      </c>
      <c r="E11" s="24">
        <v>2.96</v>
      </c>
      <c r="F11" s="12">
        <v>754.802</v>
      </c>
      <c r="G11" s="13">
        <v>1.33</v>
      </c>
      <c r="H11" s="12">
        <v>1185000000</v>
      </c>
      <c r="I11" s="12">
        <v>532212625</v>
      </c>
      <c r="J11" s="12">
        <f t="shared" si="0"/>
        <v>858606312.5</v>
      </c>
      <c r="K11" s="12">
        <v>595</v>
      </c>
      <c r="L11" s="12">
        <f t="shared" si="1"/>
        <v>263.60631249999994</v>
      </c>
      <c r="M11" s="12">
        <v>250</v>
      </c>
      <c r="N11" s="12">
        <f>SUM(K11+M11)</f>
        <v>845</v>
      </c>
      <c r="O11" s="12"/>
      <c r="P11" s="12"/>
    </row>
    <row r="12" spans="1:16" ht="13.5" thickBot="1">
      <c r="A12" s="117"/>
      <c r="B12" s="26" t="s">
        <v>29</v>
      </c>
      <c r="C12" s="27">
        <v>2.93</v>
      </c>
      <c r="D12" s="27">
        <v>2.94</v>
      </c>
      <c r="E12" s="28">
        <v>2.96</v>
      </c>
      <c r="F12" s="29">
        <v>585</v>
      </c>
      <c r="G12" s="27">
        <v>1.03</v>
      </c>
      <c r="H12" s="29">
        <v>1185000000</v>
      </c>
      <c r="I12" s="29">
        <v>412484844</v>
      </c>
      <c r="J12" s="29">
        <f t="shared" si="0"/>
        <v>798742422</v>
      </c>
      <c r="K12" s="76" t="s">
        <v>144</v>
      </c>
      <c r="L12" s="29">
        <v>799</v>
      </c>
      <c r="M12" s="29">
        <v>600</v>
      </c>
      <c r="N12" s="29">
        <v>600</v>
      </c>
      <c r="O12" s="29"/>
      <c r="P12" s="29"/>
    </row>
    <row r="13" spans="1:16" s="4" customFormat="1" ht="14.25" thickBot="1" thickTop="1">
      <c r="A13" s="30" t="s">
        <v>124</v>
      </c>
      <c r="B13" s="31" t="s">
        <v>125</v>
      </c>
      <c r="C13" s="34">
        <f aca="true" t="shared" si="2" ref="C13:I13">SUM(C5:C12)</f>
        <v>23.44</v>
      </c>
      <c r="D13" s="34">
        <f t="shared" si="2"/>
        <v>23.520000000000003</v>
      </c>
      <c r="E13" s="35">
        <f t="shared" si="2"/>
        <v>23.680000000000003</v>
      </c>
      <c r="F13" s="36">
        <f t="shared" si="2"/>
        <v>10899.154999999999</v>
      </c>
      <c r="G13" s="37">
        <f t="shared" si="2"/>
        <v>19.21</v>
      </c>
      <c r="H13" s="36">
        <f t="shared" si="2"/>
        <v>9480000000</v>
      </c>
      <c r="I13" s="36">
        <f t="shared" si="2"/>
        <v>7685019240</v>
      </c>
      <c r="J13" s="36">
        <f>SUM((H13+I13)/2)</f>
        <v>8582509620</v>
      </c>
      <c r="K13" s="36">
        <f>SUM(K5:K12)</f>
        <v>9574</v>
      </c>
      <c r="L13" s="36">
        <f t="shared" si="1"/>
        <v>-991.4903799999993</v>
      </c>
      <c r="M13" s="36">
        <f>SUM(M5:M12)</f>
        <v>2900</v>
      </c>
      <c r="N13" s="36">
        <f>SUM(K13+M13)</f>
        <v>12474</v>
      </c>
      <c r="O13" s="36">
        <f>SUM(O5:O12)</f>
        <v>0</v>
      </c>
      <c r="P13" s="36">
        <f>SUM(P5:P12)</f>
        <v>600</v>
      </c>
    </row>
    <row r="14" spans="1:16" s="44" customFormat="1" ht="6" customHeight="1" thickTop="1">
      <c r="A14" s="38"/>
      <c r="B14" s="39"/>
      <c r="C14" s="40"/>
      <c r="D14" s="40"/>
      <c r="E14" s="41"/>
      <c r="F14" s="42"/>
      <c r="G14" s="43"/>
      <c r="H14" s="42"/>
      <c r="I14" s="42"/>
      <c r="J14" s="42"/>
      <c r="K14" s="42"/>
      <c r="L14" s="42"/>
      <c r="M14" s="42"/>
      <c r="N14" s="42"/>
      <c r="O14" s="42"/>
      <c r="P14" s="185"/>
    </row>
    <row r="15" spans="1:16" ht="17.25" customHeight="1">
      <c r="A15" s="10" t="s">
        <v>1</v>
      </c>
      <c r="B15" s="11"/>
      <c r="C15" s="13"/>
      <c r="D15" s="13"/>
      <c r="E15" s="23"/>
      <c r="F15" s="14"/>
      <c r="G15" s="15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3.5" thickBot="1">
      <c r="A16" s="25"/>
      <c r="B16" s="26" t="s">
        <v>30</v>
      </c>
      <c r="C16" s="27">
        <v>0.9</v>
      </c>
      <c r="D16" s="27">
        <v>0.7</v>
      </c>
      <c r="E16" s="27">
        <v>0.4</v>
      </c>
      <c r="F16" s="29">
        <v>496.159</v>
      </c>
      <c r="G16" s="32">
        <v>0.87</v>
      </c>
      <c r="H16" s="29">
        <v>160000000</v>
      </c>
      <c r="I16" s="29">
        <v>349842851</v>
      </c>
      <c r="J16" s="29">
        <f t="shared" si="0"/>
        <v>254921425.5</v>
      </c>
      <c r="K16" s="29">
        <v>2880</v>
      </c>
      <c r="L16" s="29">
        <v>0</v>
      </c>
      <c r="M16" s="29">
        <v>0</v>
      </c>
      <c r="N16" s="29">
        <f>SUM(K16+M16)</f>
        <v>2880</v>
      </c>
      <c r="O16" s="29"/>
      <c r="P16" s="29"/>
    </row>
    <row r="17" spans="1:16" s="4" customFormat="1" ht="14.25" thickBot="1" thickTop="1">
      <c r="A17" s="30" t="s">
        <v>124</v>
      </c>
      <c r="B17" s="31" t="s">
        <v>131</v>
      </c>
      <c r="C17" s="34">
        <v>0.9</v>
      </c>
      <c r="D17" s="34">
        <v>0.7</v>
      </c>
      <c r="E17" s="35">
        <f>SUM(E16)</f>
        <v>0.4</v>
      </c>
      <c r="F17" s="36">
        <f>SUM(F16)</f>
        <v>496.159</v>
      </c>
      <c r="G17" s="33">
        <f>SUM(G16)</f>
        <v>0.87</v>
      </c>
      <c r="H17" s="36">
        <f>SUM(H16)</f>
        <v>160000000</v>
      </c>
      <c r="I17" s="36">
        <f>SUM(I16)</f>
        <v>349842851</v>
      </c>
      <c r="J17" s="36">
        <f>SUM((H17+I17)/2)</f>
        <v>254921425.5</v>
      </c>
      <c r="K17" s="36">
        <f>SUM(K16)</f>
        <v>2880</v>
      </c>
      <c r="L17" s="36">
        <f>SUM(L16)</f>
        <v>0</v>
      </c>
      <c r="M17" s="36">
        <f>SUM(M18)</f>
        <v>0</v>
      </c>
      <c r="N17" s="36">
        <f>SUM(K17+M17)</f>
        <v>2880</v>
      </c>
      <c r="O17" s="36"/>
      <c r="P17" s="36"/>
    </row>
    <row r="18" spans="1:16" s="44" customFormat="1" ht="6" customHeight="1" thickTop="1">
      <c r="A18" s="38"/>
      <c r="B18" s="45"/>
      <c r="C18" s="40"/>
      <c r="D18" s="40"/>
      <c r="E18" s="42"/>
      <c r="F18" s="46"/>
      <c r="G18" s="47"/>
      <c r="H18" s="42"/>
      <c r="I18" s="42"/>
      <c r="J18" s="42"/>
      <c r="K18" s="42"/>
      <c r="L18" s="42"/>
      <c r="M18" s="42"/>
      <c r="N18" s="42"/>
      <c r="O18" s="42"/>
      <c r="P18" s="185"/>
    </row>
    <row r="19" spans="1:16" ht="12.75">
      <c r="A19" s="10" t="s">
        <v>2</v>
      </c>
      <c r="B19" s="11"/>
      <c r="C19" s="73"/>
      <c r="D19" s="73"/>
      <c r="E19" s="57"/>
      <c r="F19" s="14"/>
      <c r="G19" s="15"/>
      <c r="H19" s="12"/>
      <c r="I19" s="12"/>
      <c r="J19" s="12"/>
      <c r="K19" s="49"/>
      <c r="L19" s="12"/>
      <c r="M19" s="12"/>
      <c r="N19" s="12"/>
      <c r="O19" s="12"/>
      <c r="P19" s="12"/>
    </row>
    <row r="20" spans="1:16" ht="12.75">
      <c r="A20" s="25"/>
      <c r="B20" s="11" t="s">
        <v>31</v>
      </c>
      <c r="C20" s="13">
        <v>0.47</v>
      </c>
      <c r="D20" s="13">
        <v>0.46</v>
      </c>
      <c r="E20" s="28">
        <v>0.43</v>
      </c>
      <c r="F20" s="12">
        <v>1161</v>
      </c>
      <c r="G20" s="15">
        <f>0.12+2.05</f>
        <v>2.17</v>
      </c>
      <c r="H20" s="12">
        <v>170909091</v>
      </c>
      <c r="I20" s="12">
        <v>818605436</v>
      </c>
      <c r="J20" s="12">
        <f t="shared" si="0"/>
        <v>494757263.5</v>
      </c>
      <c r="K20" s="49">
        <v>2650</v>
      </c>
      <c r="L20" s="12">
        <v>0</v>
      </c>
      <c r="M20" s="12">
        <v>0</v>
      </c>
      <c r="N20" s="12">
        <f>SUM(K20+M20)</f>
        <v>2650</v>
      </c>
      <c r="O20" s="12"/>
      <c r="P20" s="12"/>
    </row>
    <row r="21" spans="1:16" ht="12.75">
      <c r="A21" s="116"/>
      <c r="B21" s="11" t="s">
        <v>32</v>
      </c>
      <c r="C21" s="13">
        <v>0.47</v>
      </c>
      <c r="D21" s="13">
        <v>0.46</v>
      </c>
      <c r="E21" s="28">
        <v>0.43</v>
      </c>
      <c r="F21" s="52">
        <v>375</v>
      </c>
      <c r="G21" s="15">
        <f>0.66+0.12</f>
        <v>0.78</v>
      </c>
      <c r="H21" s="12">
        <v>170909091</v>
      </c>
      <c r="I21" s="12">
        <v>264588227</v>
      </c>
      <c r="J21" s="12">
        <f t="shared" si="0"/>
        <v>217748659</v>
      </c>
      <c r="K21" s="164" t="s">
        <v>144</v>
      </c>
      <c r="L21" s="29">
        <f>SUM(J21/1000000)</f>
        <v>217.748659</v>
      </c>
      <c r="M21" s="12">
        <v>300</v>
      </c>
      <c r="N21" s="12">
        <f>M21+0</f>
        <v>300</v>
      </c>
      <c r="O21" s="12"/>
      <c r="P21" s="12"/>
    </row>
    <row r="22" spans="1:16" ht="12.75">
      <c r="A22" s="116"/>
      <c r="B22" s="11" t="s">
        <v>33</v>
      </c>
      <c r="C22" s="13">
        <v>0.47</v>
      </c>
      <c r="D22" s="13">
        <v>0.46</v>
      </c>
      <c r="E22" s="28">
        <v>0.43</v>
      </c>
      <c r="F22" s="52">
        <v>736</v>
      </c>
      <c r="G22" s="51">
        <f>0.12+1.3</f>
        <v>1.42</v>
      </c>
      <c r="H22" s="12">
        <v>170909091</v>
      </c>
      <c r="I22" s="12">
        <v>518760683</v>
      </c>
      <c r="J22" s="12">
        <f t="shared" si="0"/>
        <v>344834887</v>
      </c>
      <c r="K22" s="164" t="s">
        <v>145</v>
      </c>
      <c r="L22" s="29">
        <f aca="true" t="shared" si="3" ref="L22:L29">SUM(J22/1000000)</f>
        <v>344.834887</v>
      </c>
      <c r="M22" s="12">
        <v>0</v>
      </c>
      <c r="N22" s="12">
        <f aca="true" t="shared" si="4" ref="N22:N29">M22+0</f>
        <v>0</v>
      </c>
      <c r="O22" s="12"/>
      <c r="P22" s="12"/>
    </row>
    <row r="23" spans="1:16" ht="12.75">
      <c r="A23" s="116"/>
      <c r="B23" s="11" t="s">
        <v>34</v>
      </c>
      <c r="C23" s="13">
        <v>0.47</v>
      </c>
      <c r="D23" s="13">
        <v>0.46</v>
      </c>
      <c r="E23" s="28">
        <v>0.43</v>
      </c>
      <c r="F23" s="52">
        <v>830</v>
      </c>
      <c r="G23" s="52">
        <f>0.12+1.46</f>
        <v>1.58</v>
      </c>
      <c r="H23" s="12">
        <v>170909091</v>
      </c>
      <c r="I23" s="12">
        <v>584942995</v>
      </c>
      <c r="J23" s="12">
        <f t="shared" si="0"/>
        <v>377926043</v>
      </c>
      <c r="K23" s="164" t="s">
        <v>145</v>
      </c>
      <c r="L23" s="29">
        <f t="shared" si="3"/>
        <v>377.926043</v>
      </c>
      <c r="M23" s="12">
        <v>0</v>
      </c>
      <c r="N23" s="12">
        <f t="shared" si="4"/>
        <v>0</v>
      </c>
      <c r="O23" s="12"/>
      <c r="P23" s="12"/>
    </row>
    <row r="24" spans="1:16" ht="12.75">
      <c r="A24" s="116"/>
      <c r="B24" s="11" t="s">
        <v>35</v>
      </c>
      <c r="C24" s="13">
        <v>0.47</v>
      </c>
      <c r="D24" s="13">
        <v>0.46</v>
      </c>
      <c r="E24" s="28">
        <v>0.43</v>
      </c>
      <c r="F24" s="52">
        <v>398</v>
      </c>
      <c r="G24" s="51">
        <f>0.12+0.7</f>
        <v>0.82</v>
      </c>
      <c r="H24" s="12">
        <v>170909091</v>
      </c>
      <c r="I24" s="12">
        <v>280633535</v>
      </c>
      <c r="J24" s="12">
        <f t="shared" si="0"/>
        <v>225771313</v>
      </c>
      <c r="K24" s="164" t="s">
        <v>144</v>
      </c>
      <c r="L24" s="29">
        <f t="shared" si="3"/>
        <v>225.771313</v>
      </c>
      <c r="M24" s="12">
        <v>300</v>
      </c>
      <c r="N24" s="12">
        <f t="shared" si="4"/>
        <v>300</v>
      </c>
      <c r="O24" s="15"/>
      <c r="P24" s="216"/>
    </row>
    <row r="25" spans="1:16" ht="12.75">
      <c r="A25" s="116"/>
      <c r="B25" s="11" t="s">
        <v>36</v>
      </c>
      <c r="C25" s="13">
        <v>0.47</v>
      </c>
      <c r="D25" s="13">
        <v>0.46</v>
      </c>
      <c r="E25" s="28">
        <v>0.43</v>
      </c>
      <c r="F25" s="52">
        <v>301</v>
      </c>
      <c r="G25" s="52">
        <f>0.12+0.53</f>
        <v>0.65</v>
      </c>
      <c r="H25" s="12">
        <v>170909091</v>
      </c>
      <c r="I25" s="12">
        <v>212263291</v>
      </c>
      <c r="J25" s="12">
        <f t="shared" si="0"/>
        <v>191586191</v>
      </c>
      <c r="K25" s="164" t="s">
        <v>145</v>
      </c>
      <c r="L25" s="29">
        <f t="shared" si="3"/>
        <v>191.586191</v>
      </c>
      <c r="M25" s="12">
        <v>0</v>
      </c>
      <c r="N25" s="12">
        <f t="shared" si="4"/>
        <v>0</v>
      </c>
      <c r="O25" s="12"/>
      <c r="P25" s="12"/>
    </row>
    <row r="26" spans="1:16" ht="12.75">
      <c r="A26" s="116"/>
      <c r="B26" s="11" t="s">
        <v>37</v>
      </c>
      <c r="C26" s="13">
        <v>0.47</v>
      </c>
      <c r="D26" s="13">
        <v>0.46</v>
      </c>
      <c r="E26" s="28">
        <v>0.43</v>
      </c>
      <c r="F26" s="12">
        <v>1052</v>
      </c>
      <c r="G26" s="52">
        <f>0.12+1.86</f>
        <v>1.98</v>
      </c>
      <c r="H26" s="12">
        <v>170909091</v>
      </c>
      <c r="I26" s="12">
        <v>742015109</v>
      </c>
      <c r="J26" s="12">
        <f t="shared" si="0"/>
        <v>456462100</v>
      </c>
      <c r="K26" s="164" t="s">
        <v>146</v>
      </c>
      <c r="L26" s="29">
        <f t="shared" si="3"/>
        <v>456.4621</v>
      </c>
      <c r="M26" s="12">
        <v>450</v>
      </c>
      <c r="N26" s="12">
        <f t="shared" si="4"/>
        <v>450</v>
      </c>
      <c r="O26" s="12"/>
      <c r="P26" s="12"/>
    </row>
    <row r="27" spans="1:16" ht="12.75">
      <c r="A27" s="116"/>
      <c r="B27" s="11" t="s">
        <v>38</v>
      </c>
      <c r="C27" s="13">
        <v>0.47</v>
      </c>
      <c r="D27" s="13">
        <v>0.46</v>
      </c>
      <c r="E27" s="28">
        <v>0.43</v>
      </c>
      <c r="F27" s="52">
        <v>501</v>
      </c>
      <c r="G27" s="52">
        <f>0.12+0.88</f>
        <v>1</v>
      </c>
      <c r="H27" s="12">
        <v>170909091</v>
      </c>
      <c r="I27" s="12">
        <v>353256251</v>
      </c>
      <c r="J27" s="12">
        <f t="shared" si="0"/>
        <v>262082671</v>
      </c>
      <c r="K27" s="164" t="s">
        <v>146</v>
      </c>
      <c r="L27" s="29">
        <f t="shared" si="3"/>
        <v>262.082671</v>
      </c>
      <c r="M27" s="12">
        <v>300</v>
      </c>
      <c r="N27" s="12">
        <f t="shared" si="4"/>
        <v>300</v>
      </c>
      <c r="O27" s="12">
        <v>100</v>
      </c>
      <c r="P27" s="12">
        <v>300</v>
      </c>
    </row>
    <row r="28" spans="1:16" ht="12.75">
      <c r="A28" s="116"/>
      <c r="B28" s="11" t="s">
        <v>39</v>
      </c>
      <c r="C28" s="13">
        <v>0.47</v>
      </c>
      <c r="D28" s="13">
        <v>0.46</v>
      </c>
      <c r="E28" s="28">
        <v>0.43</v>
      </c>
      <c r="F28" s="12">
        <v>1410</v>
      </c>
      <c r="G28" s="52">
        <f>0.12+2.49</f>
        <v>2.6100000000000003</v>
      </c>
      <c r="H28" s="12">
        <v>170909091</v>
      </c>
      <c r="I28" s="12">
        <v>994512947</v>
      </c>
      <c r="J28" s="12">
        <f t="shared" si="0"/>
        <v>582711019</v>
      </c>
      <c r="K28" s="164" t="s">
        <v>146</v>
      </c>
      <c r="L28" s="29">
        <f t="shared" si="3"/>
        <v>582.711019</v>
      </c>
      <c r="M28" s="12">
        <v>550</v>
      </c>
      <c r="N28" s="12">
        <f t="shared" si="4"/>
        <v>550</v>
      </c>
      <c r="O28" s="12"/>
      <c r="P28" s="12"/>
    </row>
    <row r="29" spans="1:16" ht="12.75">
      <c r="A29" s="116"/>
      <c r="B29" s="11" t="s">
        <v>40</v>
      </c>
      <c r="C29" s="13">
        <v>0.47</v>
      </c>
      <c r="D29" s="13">
        <v>0.46</v>
      </c>
      <c r="E29" s="28">
        <v>0.43</v>
      </c>
      <c r="F29" s="52">
        <v>1675</v>
      </c>
      <c r="G29" s="52">
        <f>0.12+2.95</f>
        <v>3.0700000000000003</v>
      </c>
      <c r="H29" s="12">
        <v>170909091</v>
      </c>
      <c r="I29" s="12">
        <v>1181046350</v>
      </c>
      <c r="J29" s="12">
        <f t="shared" si="0"/>
        <v>675977720.5</v>
      </c>
      <c r="K29" s="164" t="s">
        <v>147</v>
      </c>
      <c r="L29" s="29">
        <f t="shared" si="3"/>
        <v>675.9777205</v>
      </c>
      <c r="M29" s="12">
        <v>615</v>
      </c>
      <c r="N29" s="12">
        <f t="shared" si="4"/>
        <v>615</v>
      </c>
      <c r="O29" s="12"/>
      <c r="P29" s="12"/>
    </row>
    <row r="30" spans="1:16" ht="13.5" thickBot="1">
      <c r="A30" s="117"/>
      <c r="B30" s="26" t="s">
        <v>41</v>
      </c>
      <c r="C30" s="13">
        <v>0.47</v>
      </c>
      <c r="D30" s="13">
        <v>0.46</v>
      </c>
      <c r="E30" s="28">
        <v>0.43</v>
      </c>
      <c r="F30" s="53">
        <v>663</v>
      </c>
      <c r="G30" s="53">
        <f>0.13+1.17</f>
        <v>1.2999999999999998</v>
      </c>
      <c r="H30" s="12">
        <v>170909091</v>
      </c>
      <c r="I30" s="29">
        <v>467667561</v>
      </c>
      <c r="J30" s="29">
        <f t="shared" si="0"/>
        <v>319288326</v>
      </c>
      <c r="K30" s="54">
        <v>300</v>
      </c>
      <c r="L30" s="29">
        <f>SUM((J30/1000000)-K30)</f>
        <v>19.288325999999984</v>
      </c>
      <c r="M30" s="29">
        <v>0</v>
      </c>
      <c r="N30" s="29">
        <f>SUM(K30+M30)</f>
        <v>300</v>
      </c>
      <c r="O30" s="29"/>
      <c r="P30" s="29"/>
    </row>
    <row r="31" spans="1:16" ht="14.25" thickBot="1" thickTop="1">
      <c r="A31" s="30" t="s">
        <v>124</v>
      </c>
      <c r="B31" s="31" t="s">
        <v>133</v>
      </c>
      <c r="C31" s="34">
        <f>SUM(C20:C30)</f>
        <v>5.169999999999998</v>
      </c>
      <c r="D31" s="34">
        <f>SUM(D20:D30)</f>
        <v>5.0600000000000005</v>
      </c>
      <c r="E31" s="34">
        <f>SUM(E20:E30)</f>
        <v>4.73</v>
      </c>
      <c r="F31" s="69">
        <v>9103</v>
      </c>
      <c r="G31" s="34">
        <f>SUM(G20:G30)</f>
        <v>17.380000000000003</v>
      </c>
      <c r="H31" s="36">
        <v>1880000000</v>
      </c>
      <c r="I31" s="36">
        <f>SUM(I20:I30)</f>
        <v>6418292385</v>
      </c>
      <c r="J31" s="36">
        <f>SUM((H31+I31)/2)</f>
        <v>4149146192.5</v>
      </c>
      <c r="K31" s="70">
        <f>SUM(K20:K30)</f>
        <v>2950</v>
      </c>
      <c r="L31" s="36">
        <f>SUM((J31/1000000)-K31)</f>
        <v>1199.1461925000003</v>
      </c>
      <c r="M31" s="36">
        <f>SUM(M20:M30)</f>
        <v>2515</v>
      </c>
      <c r="N31" s="36">
        <f>SUM(K31+M31)</f>
        <v>5465</v>
      </c>
      <c r="O31" s="36">
        <f>SUM(O20:O30)</f>
        <v>100</v>
      </c>
      <c r="P31" s="36">
        <f>SUM(P20:P30)</f>
        <v>300</v>
      </c>
    </row>
    <row r="32" spans="1:16" s="44" customFormat="1" ht="6.75" customHeight="1" thickTop="1">
      <c r="A32" s="48"/>
      <c r="B32" s="39"/>
      <c r="C32" s="40"/>
      <c r="D32" s="40"/>
      <c r="E32" s="42"/>
      <c r="F32" s="46"/>
      <c r="G32" s="47"/>
      <c r="H32" s="42"/>
      <c r="I32" s="42"/>
      <c r="J32" s="42"/>
      <c r="K32" s="55"/>
      <c r="L32" s="42"/>
      <c r="M32" s="42"/>
      <c r="N32" s="42"/>
      <c r="O32" s="42"/>
      <c r="P32" s="185"/>
    </row>
    <row r="33" spans="1:16" ht="12.75">
      <c r="A33" s="10" t="s">
        <v>3</v>
      </c>
      <c r="B33" s="11"/>
      <c r="C33" s="13"/>
      <c r="D33" s="73"/>
      <c r="E33" s="57"/>
      <c r="F33" s="71"/>
      <c r="G33" s="72"/>
      <c r="H33" s="57"/>
      <c r="I33" s="57"/>
      <c r="J33" s="57"/>
      <c r="K33" s="58"/>
      <c r="L33" s="57"/>
      <c r="M33" s="57"/>
      <c r="N33" s="57"/>
      <c r="O33" s="12"/>
      <c r="P33" s="12"/>
    </row>
    <row r="34" spans="1:16" ht="12.75">
      <c r="A34" s="25"/>
      <c r="B34" s="11" t="s">
        <v>42</v>
      </c>
      <c r="C34" s="13">
        <v>1.8</v>
      </c>
      <c r="D34" s="13">
        <v>1.4</v>
      </c>
      <c r="E34" s="51">
        <v>1.23</v>
      </c>
      <c r="F34" s="50">
        <v>1220</v>
      </c>
      <c r="G34" s="15">
        <v>1.06</v>
      </c>
      <c r="H34" s="12">
        <v>480000000</v>
      </c>
      <c r="I34" s="12">
        <v>860087309</v>
      </c>
      <c r="J34" s="12">
        <f t="shared" si="0"/>
        <v>670043654.5</v>
      </c>
      <c r="K34" s="164" t="s">
        <v>147</v>
      </c>
      <c r="L34" s="12">
        <v>670</v>
      </c>
      <c r="M34" s="12">
        <v>500</v>
      </c>
      <c r="N34" s="12">
        <v>500</v>
      </c>
      <c r="O34" s="12"/>
      <c r="P34" s="12"/>
    </row>
    <row r="35" spans="1:16" ht="13.5" thickBot="1">
      <c r="A35" s="117"/>
      <c r="B35" s="26" t="s">
        <v>43</v>
      </c>
      <c r="C35" s="27">
        <v>0.9</v>
      </c>
      <c r="D35" s="27">
        <v>0.7</v>
      </c>
      <c r="E35" s="68">
        <v>0.63</v>
      </c>
      <c r="F35" s="56">
        <v>1453.076</v>
      </c>
      <c r="G35" s="32">
        <v>2.56</v>
      </c>
      <c r="H35" s="29">
        <v>240000000</v>
      </c>
      <c r="I35" s="29">
        <v>1024567227</v>
      </c>
      <c r="J35" s="29">
        <f t="shared" si="0"/>
        <v>632283613.5</v>
      </c>
      <c r="K35" s="165" t="s">
        <v>147</v>
      </c>
      <c r="L35" s="29">
        <v>632</v>
      </c>
      <c r="M35" s="29">
        <v>500</v>
      </c>
      <c r="N35" s="29">
        <v>500</v>
      </c>
      <c r="O35" s="29"/>
      <c r="P35" s="29">
        <v>248</v>
      </c>
    </row>
    <row r="36" spans="1:16" ht="14.25" thickBot="1" thickTop="1">
      <c r="A36" s="30" t="s">
        <v>124</v>
      </c>
      <c r="B36" s="31" t="s">
        <v>136</v>
      </c>
      <c r="C36" s="34">
        <f aca="true" t="shared" si="5" ref="C36:I36">SUM(C34:C35)</f>
        <v>2.7</v>
      </c>
      <c r="D36" s="34">
        <f t="shared" si="5"/>
        <v>2.0999999999999996</v>
      </c>
      <c r="E36" s="34">
        <f t="shared" si="5"/>
        <v>1.8599999999999999</v>
      </c>
      <c r="F36" s="36">
        <f t="shared" si="5"/>
        <v>2673.076</v>
      </c>
      <c r="G36" s="34">
        <f t="shared" si="5"/>
        <v>3.62</v>
      </c>
      <c r="H36" s="36">
        <f t="shared" si="5"/>
        <v>720000000</v>
      </c>
      <c r="I36" s="36">
        <f t="shared" si="5"/>
        <v>1884654536</v>
      </c>
      <c r="J36" s="36">
        <f>SUM((H36+I36)/2)</f>
        <v>1302327268</v>
      </c>
      <c r="K36" s="70">
        <f>SUM(K34:K35)</f>
        <v>0</v>
      </c>
      <c r="L36" s="36">
        <f>SUM((J36/1000000)-K36)</f>
        <v>1302.327268</v>
      </c>
      <c r="M36" s="36">
        <f>SUM(M34:M35)</f>
        <v>1000</v>
      </c>
      <c r="N36" s="36">
        <f>SUM(K36+M36)</f>
        <v>1000</v>
      </c>
      <c r="O36" s="36">
        <f>SUM(O34:O35)</f>
        <v>0</v>
      </c>
      <c r="P36" s="36">
        <f>SUM(P34:P35)</f>
        <v>248</v>
      </c>
    </row>
    <row r="37" spans="1:16" s="44" customFormat="1" ht="6" customHeight="1" thickTop="1">
      <c r="A37" s="38"/>
      <c r="B37" s="45"/>
      <c r="C37" s="40"/>
      <c r="D37" s="40"/>
      <c r="E37" s="42"/>
      <c r="F37" s="42"/>
      <c r="G37" s="47"/>
      <c r="H37" s="42"/>
      <c r="I37" s="42"/>
      <c r="J37" s="42"/>
      <c r="K37" s="55"/>
      <c r="L37" s="42"/>
      <c r="M37" s="42"/>
      <c r="N37" s="42"/>
      <c r="O37" s="42"/>
      <c r="P37" s="185"/>
    </row>
    <row r="38" spans="1:16" ht="12.75">
      <c r="A38" s="10" t="s">
        <v>4</v>
      </c>
      <c r="B38" s="11"/>
      <c r="C38" s="73"/>
      <c r="D38" s="73"/>
      <c r="E38" s="57"/>
      <c r="F38" s="71"/>
      <c r="G38" s="72"/>
      <c r="H38" s="57"/>
      <c r="I38" s="57"/>
      <c r="J38" s="57"/>
      <c r="K38" s="58"/>
      <c r="L38" s="57"/>
      <c r="M38" s="57"/>
      <c r="N38" s="57"/>
      <c r="O38" s="12"/>
      <c r="P38" s="12"/>
    </row>
    <row r="39" spans="1:16" ht="12.75">
      <c r="A39" s="25"/>
      <c r="B39" s="11" t="s">
        <v>44</v>
      </c>
      <c r="C39" s="13">
        <v>2.32</v>
      </c>
      <c r="D39" s="13">
        <v>2.32</v>
      </c>
      <c r="E39" s="24">
        <v>2.3</v>
      </c>
      <c r="F39" s="12">
        <v>394</v>
      </c>
      <c r="G39" s="13">
        <v>0.69</v>
      </c>
      <c r="H39" s="12">
        <v>914285714</v>
      </c>
      <c r="I39" s="12">
        <v>277879406</v>
      </c>
      <c r="J39" s="12">
        <f t="shared" si="0"/>
        <v>596082560</v>
      </c>
      <c r="K39" s="166" t="s">
        <v>148</v>
      </c>
      <c r="L39" s="77">
        <v>596</v>
      </c>
      <c r="M39" s="12">
        <v>450</v>
      </c>
      <c r="N39" s="12">
        <v>450</v>
      </c>
      <c r="O39" s="12">
        <v>450</v>
      </c>
      <c r="P39" s="12">
        <v>450</v>
      </c>
    </row>
    <row r="40" spans="1:16" ht="12.75">
      <c r="A40" s="116"/>
      <c r="B40" s="11" t="s">
        <v>45</v>
      </c>
      <c r="C40" s="13">
        <v>2.32</v>
      </c>
      <c r="D40" s="13">
        <v>2.32</v>
      </c>
      <c r="E40" s="24">
        <v>2.3</v>
      </c>
      <c r="F40" s="12">
        <v>1150</v>
      </c>
      <c r="G40" s="13">
        <v>2.03</v>
      </c>
      <c r="H40" s="12">
        <v>914285714</v>
      </c>
      <c r="I40" s="12">
        <v>810867643</v>
      </c>
      <c r="J40" s="12">
        <f t="shared" si="0"/>
        <v>862576678.5</v>
      </c>
      <c r="K40" s="164" t="s">
        <v>149</v>
      </c>
      <c r="L40" s="12">
        <v>863</v>
      </c>
      <c r="M40" s="12">
        <v>650</v>
      </c>
      <c r="N40" s="12">
        <v>650</v>
      </c>
      <c r="O40" s="12"/>
      <c r="P40" s="12"/>
    </row>
    <row r="41" spans="1:16" ht="12.75">
      <c r="A41" s="116"/>
      <c r="B41" s="11" t="s">
        <v>46</v>
      </c>
      <c r="C41" s="13">
        <v>2.32</v>
      </c>
      <c r="D41" s="13">
        <v>2.32</v>
      </c>
      <c r="E41" s="24">
        <v>2.3</v>
      </c>
      <c r="F41" s="12">
        <v>818.195</v>
      </c>
      <c r="G41" s="13">
        <v>1.44</v>
      </c>
      <c r="H41" s="12">
        <v>914285714</v>
      </c>
      <c r="I41" s="12">
        <v>576911175</v>
      </c>
      <c r="J41" s="12">
        <f t="shared" si="0"/>
        <v>745598444.5</v>
      </c>
      <c r="K41" s="49">
        <v>3000</v>
      </c>
      <c r="L41" s="12">
        <f aca="true" t="shared" si="6" ref="L41:L46">SUM((J41/1000000)-K41)</f>
        <v>-2254.4015555</v>
      </c>
      <c r="M41" s="12">
        <v>0</v>
      </c>
      <c r="N41" s="12">
        <f>SUM(K41+M41)</f>
        <v>3000</v>
      </c>
      <c r="O41" s="12"/>
      <c r="P41" s="12"/>
    </row>
    <row r="42" spans="1:16" ht="12.75">
      <c r="A42" s="116"/>
      <c r="B42" s="11" t="s">
        <v>47</v>
      </c>
      <c r="C42" s="13">
        <v>2.32</v>
      </c>
      <c r="D42" s="13">
        <v>2.32</v>
      </c>
      <c r="E42" s="24">
        <v>2.3</v>
      </c>
      <c r="F42" s="12">
        <v>1368.586</v>
      </c>
      <c r="G42" s="13">
        <v>2.41</v>
      </c>
      <c r="H42" s="12">
        <v>914285714</v>
      </c>
      <c r="I42" s="12">
        <v>964993134</v>
      </c>
      <c r="J42" s="12">
        <f t="shared" si="0"/>
        <v>939639424</v>
      </c>
      <c r="K42" s="49">
        <v>3000</v>
      </c>
      <c r="L42" s="12">
        <f t="shared" si="6"/>
        <v>-2060.360576</v>
      </c>
      <c r="M42" s="12">
        <v>0</v>
      </c>
      <c r="N42" s="12">
        <f>SUM(K42+M42)</f>
        <v>3000</v>
      </c>
      <c r="O42" s="12"/>
      <c r="P42" s="12"/>
    </row>
    <row r="43" spans="1:16" ht="12.75">
      <c r="A43" s="116"/>
      <c r="B43" s="11" t="s">
        <v>48</v>
      </c>
      <c r="C43" s="13">
        <v>2.32</v>
      </c>
      <c r="D43" s="13">
        <v>2.32</v>
      </c>
      <c r="E43" s="24">
        <v>2.3</v>
      </c>
      <c r="F43" s="12">
        <v>817.85</v>
      </c>
      <c r="G43" s="13">
        <v>1.44</v>
      </c>
      <c r="H43" s="12">
        <v>914285714</v>
      </c>
      <c r="I43" s="12">
        <v>576667915</v>
      </c>
      <c r="J43" s="12">
        <f t="shared" si="0"/>
        <v>745476814.5</v>
      </c>
      <c r="K43" s="49">
        <v>3000</v>
      </c>
      <c r="L43" s="12">
        <f t="shared" si="6"/>
        <v>-2254.5231855</v>
      </c>
      <c r="M43" s="12">
        <v>0</v>
      </c>
      <c r="N43" s="12">
        <f>SUM(K43+M43)</f>
        <v>3000</v>
      </c>
      <c r="O43" s="12"/>
      <c r="P43" s="12"/>
    </row>
    <row r="44" spans="1:16" ht="12.75">
      <c r="A44" s="116"/>
      <c r="B44" s="11" t="s">
        <v>49</v>
      </c>
      <c r="C44" s="13">
        <v>2.32</v>
      </c>
      <c r="D44" s="13">
        <v>2.32</v>
      </c>
      <c r="E44" s="24">
        <v>2.3</v>
      </c>
      <c r="F44" s="12">
        <v>1492</v>
      </c>
      <c r="G44" s="13">
        <v>2.63</v>
      </c>
      <c r="H44" s="12">
        <v>914285714</v>
      </c>
      <c r="I44" s="12">
        <v>1052012629</v>
      </c>
      <c r="J44" s="12">
        <f t="shared" si="0"/>
        <v>983149171.5</v>
      </c>
      <c r="K44" s="49">
        <v>3000</v>
      </c>
      <c r="L44" s="12">
        <f t="shared" si="6"/>
        <v>-2016.8508285</v>
      </c>
      <c r="M44" s="12">
        <v>0</v>
      </c>
      <c r="N44" s="12">
        <f>SUM(K44+M44)</f>
        <v>3000</v>
      </c>
      <c r="O44" s="12"/>
      <c r="P44" s="12"/>
    </row>
    <row r="45" spans="1:16" ht="13.5" thickBot="1">
      <c r="A45" s="117"/>
      <c r="B45" s="11" t="s">
        <v>50</v>
      </c>
      <c r="C45" s="13">
        <v>2.32</v>
      </c>
      <c r="D45" s="13">
        <v>2.32</v>
      </c>
      <c r="E45" s="24">
        <v>2.3</v>
      </c>
      <c r="F45" s="12">
        <v>1016.584</v>
      </c>
      <c r="G45" s="13">
        <v>1.79</v>
      </c>
      <c r="H45" s="12">
        <v>914285714</v>
      </c>
      <c r="I45" s="12">
        <v>716795715</v>
      </c>
      <c r="J45" s="12">
        <f t="shared" si="0"/>
        <v>815540714.5</v>
      </c>
      <c r="K45" s="49">
        <v>2960</v>
      </c>
      <c r="L45" s="12">
        <f t="shared" si="6"/>
        <v>-2144.4592855</v>
      </c>
      <c r="M45" s="12">
        <v>0</v>
      </c>
      <c r="N45" s="12">
        <f>SUM(K45+M45)</f>
        <v>2960</v>
      </c>
      <c r="O45" s="12"/>
      <c r="P45" s="12"/>
    </row>
    <row r="46" spans="1:16" ht="14.25" thickBot="1" thickTop="1">
      <c r="A46" s="30" t="s">
        <v>124</v>
      </c>
      <c r="B46" s="31" t="s">
        <v>142</v>
      </c>
      <c r="C46" s="34">
        <f>SUM(C39:C45)</f>
        <v>16.24</v>
      </c>
      <c r="D46" s="34">
        <f>SUM(D39:D45)</f>
        <v>16.24</v>
      </c>
      <c r="E46" s="34">
        <f>SUM(E39:E45)</f>
        <v>16.1</v>
      </c>
      <c r="F46" s="76">
        <f>SUM(F39:F45)</f>
        <v>7057.215</v>
      </c>
      <c r="G46" s="74">
        <f>SUM(G39:G45)</f>
        <v>12.43</v>
      </c>
      <c r="H46" s="76">
        <v>6400000000</v>
      </c>
      <c r="I46" s="76">
        <f>SUM(I39:I45)</f>
        <v>4976127617</v>
      </c>
      <c r="J46" s="76">
        <f>SUM((H46+I46)/2)</f>
        <v>5688063808.5</v>
      </c>
      <c r="K46" s="75">
        <f>SUM(K41:K45)</f>
        <v>14960</v>
      </c>
      <c r="L46" s="76">
        <f t="shared" si="6"/>
        <v>-9271.9361915</v>
      </c>
      <c r="M46" s="76">
        <f>SUM(M39:M45)</f>
        <v>1100</v>
      </c>
      <c r="N46" s="76">
        <f>SUM(N39:N45)</f>
        <v>16060</v>
      </c>
      <c r="O46" s="76">
        <f>SUM(O39:O45)</f>
        <v>450</v>
      </c>
      <c r="P46" s="76">
        <f>SUM(P39:P45)</f>
        <v>450</v>
      </c>
    </row>
    <row r="47" spans="1:16" s="66" customFormat="1" ht="6" customHeight="1" thickTop="1">
      <c r="A47" s="59"/>
      <c r="B47" s="60"/>
      <c r="C47" s="61"/>
      <c r="D47" s="61"/>
      <c r="E47" s="62"/>
      <c r="F47" s="63"/>
      <c r="G47" s="64"/>
      <c r="H47" s="62"/>
      <c r="I47" s="62"/>
      <c r="J47" s="62"/>
      <c r="K47" s="65"/>
      <c r="L47" s="62"/>
      <c r="M47" s="62"/>
      <c r="N47" s="62"/>
      <c r="O47" s="62"/>
      <c r="P47" s="62"/>
    </row>
    <row r="48" spans="1:16" ht="12.75">
      <c r="A48" s="10" t="s">
        <v>5</v>
      </c>
      <c r="B48" s="11"/>
      <c r="C48" s="73"/>
      <c r="D48" s="73"/>
      <c r="E48" s="57"/>
      <c r="F48" s="71"/>
      <c r="G48" s="72"/>
      <c r="H48" s="57"/>
      <c r="I48" s="57"/>
      <c r="J48" s="57"/>
      <c r="K48" s="58"/>
      <c r="L48" s="57"/>
      <c r="M48" s="12"/>
      <c r="N48" s="12"/>
      <c r="O48" s="12"/>
      <c r="P48" s="12"/>
    </row>
    <row r="49" spans="1:16" ht="12.75">
      <c r="A49" s="25"/>
      <c r="B49" s="11" t="s">
        <v>51</v>
      </c>
      <c r="C49" s="13">
        <v>1.18</v>
      </c>
      <c r="D49" s="13">
        <v>1.18</v>
      </c>
      <c r="E49" s="24">
        <v>1.15</v>
      </c>
      <c r="F49" s="12">
        <v>128</v>
      </c>
      <c r="G49" s="13">
        <v>0.23</v>
      </c>
      <c r="H49" s="12">
        <v>460000000</v>
      </c>
      <c r="I49" s="12">
        <v>90347578</v>
      </c>
      <c r="J49" s="12">
        <f t="shared" si="0"/>
        <v>275173789</v>
      </c>
      <c r="K49" s="164" t="s">
        <v>147</v>
      </c>
      <c r="L49" s="12">
        <v>275</v>
      </c>
      <c r="M49" s="12">
        <v>250</v>
      </c>
      <c r="N49" s="12">
        <v>250</v>
      </c>
      <c r="O49" s="12"/>
      <c r="P49" s="12"/>
    </row>
    <row r="50" spans="1:16" ht="12.75">
      <c r="A50" s="116"/>
      <c r="B50" s="11" t="s">
        <v>52</v>
      </c>
      <c r="C50" s="13">
        <v>1.18</v>
      </c>
      <c r="D50" s="13">
        <v>1.18</v>
      </c>
      <c r="E50" s="24">
        <v>1.15</v>
      </c>
      <c r="F50" s="12">
        <v>652.945</v>
      </c>
      <c r="G50" s="13">
        <v>1.15</v>
      </c>
      <c r="H50" s="12">
        <v>460000000</v>
      </c>
      <c r="I50" s="12">
        <v>460393020</v>
      </c>
      <c r="J50" s="12">
        <f t="shared" si="0"/>
        <v>460196510</v>
      </c>
      <c r="K50" s="49">
        <v>1676</v>
      </c>
      <c r="L50" s="12">
        <f>SUM((J50/1000000)-K50)</f>
        <v>-1215.80349</v>
      </c>
      <c r="M50" s="12">
        <v>0</v>
      </c>
      <c r="N50" s="12">
        <f>SUM(K50+M50)</f>
        <v>1676</v>
      </c>
      <c r="O50" s="12"/>
      <c r="P50" s="12"/>
    </row>
    <row r="51" spans="1:16" ht="12.75">
      <c r="A51" s="116"/>
      <c r="B51" s="11" t="s">
        <v>53</v>
      </c>
      <c r="C51" s="13">
        <v>1.18</v>
      </c>
      <c r="D51" s="13">
        <v>1.18</v>
      </c>
      <c r="E51" s="24">
        <v>1.15</v>
      </c>
      <c r="F51" s="12">
        <v>125.65</v>
      </c>
      <c r="G51" s="13">
        <v>0.22</v>
      </c>
      <c r="H51" s="12">
        <v>460000000</v>
      </c>
      <c r="I51" s="12">
        <v>88596104</v>
      </c>
      <c r="J51" s="12">
        <f t="shared" si="0"/>
        <v>274298052</v>
      </c>
      <c r="K51" s="164" t="s">
        <v>147</v>
      </c>
      <c r="L51" s="12">
        <v>274</v>
      </c>
      <c r="M51" s="12">
        <v>250</v>
      </c>
      <c r="N51" s="12">
        <v>250</v>
      </c>
      <c r="O51" s="12"/>
      <c r="P51" s="12">
        <v>250</v>
      </c>
    </row>
    <row r="52" spans="1:16" ht="13.5" thickBot="1">
      <c r="A52" s="117"/>
      <c r="B52" s="11" t="s">
        <v>54</v>
      </c>
      <c r="C52" s="13">
        <v>1.18</v>
      </c>
      <c r="D52" s="13">
        <v>1.18</v>
      </c>
      <c r="E52" s="24">
        <v>1.15</v>
      </c>
      <c r="F52" s="12">
        <v>1261.6</v>
      </c>
      <c r="G52" s="13">
        <v>2.22</v>
      </c>
      <c r="H52" s="12">
        <v>460000000</v>
      </c>
      <c r="I52" s="12">
        <v>889557059</v>
      </c>
      <c r="J52" s="12">
        <f t="shared" si="0"/>
        <v>674778529.5</v>
      </c>
      <c r="K52" s="12">
        <v>2970</v>
      </c>
      <c r="L52" s="12">
        <f>SUM((J52/1000000)-K52)</f>
        <v>-2295.2214705</v>
      </c>
      <c r="M52" s="12">
        <v>0</v>
      </c>
      <c r="N52" s="12">
        <f>SUM(K52+M52)</f>
        <v>2970</v>
      </c>
      <c r="O52" s="12"/>
      <c r="P52" s="12"/>
    </row>
    <row r="53" spans="1:16" ht="14.25" thickBot="1" thickTop="1">
      <c r="A53" s="30" t="s">
        <v>124</v>
      </c>
      <c r="B53" s="31" t="s">
        <v>143</v>
      </c>
      <c r="C53" s="34">
        <f aca="true" t="shared" si="7" ref="C53:I53">SUM(C49:C52)</f>
        <v>4.72</v>
      </c>
      <c r="D53" s="34">
        <f t="shared" si="7"/>
        <v>4.72</v>
      </c>
      <c r="E53" s="34">
        <f t="shared" si="7"/>
        <v>4.6</v>
      </c>
      <c r="F53" s="76">
        <f t="shared" si="7"/>
        <v>2168.1949999999997</v>
      </c>
      <c r="G53" s="74">
        <f t="shared" si="7"/>
        <v>3.8200000000000003</v>
      </c>
      <c r="H53" s="76">
        <f t="shared" si="7"/>
        <v>1840000000</v>
      </c>
      <c r="I53" s="76">
        <f t="shared" si="7"/>
        <v>1528893761</v>
      </c>
      <c r="J53" s="76">
        <f>SUM((H53+I53)/2)</f>
        <v>1684446880.5</v>
      </c>
      <c r="K53" s="76">
        <f>SUM(K49:K52)</f>
        <v>4646</v>
      </c>
      <c r="L53" s="76">
        <f>SUM((J53/1000000)-K53)</f>
        <v>-2961.5531195000003</v>
      </c>
      <c r="M53" s="76">
        <f>SUM(M49:M52)</f>
        <v>500</v>
      </c>
      <c r="N53" s="76">
        <f>SUM(N49:N52)</f>
        <v>5146</v>
      </c>
      <c r="O53" s="76">
        <f>SUM(O49:O52)</f>
        <v>0</v>
      </c>
      <c r="P53" s="76">
        <f>SUM(P49:P52)</f>
        <v>250</v>
      </c>
    </row>
    <row r="54" spans="1:16" s="66" customFormat="1" ht="6" customHeight="1" thickTop="1">
      <c r="A54" s="59"/>
      <c r="B54" s="60"/>
      <c r="C54" s="61"/>
      <c r="D54" s="61"/>
      <c r="E54" s="67"/>
      <c r="F54" s="63"/>
      <c r="G54" s="64"/>
      <c r="H54" s="62"/>
      <c r="I54" s="62"/>
      <c r="J54" s="62"/>
      <c r="K54" s="186"/>
      <c r="L54" s="62"/>
      <c r="M54" s="62"/>
      <c r="N54" s="62"/>
      <c r="O54" s="62"/>
      <c r="P54" s="62"/>
    </row>
    <row r="55" spans="1:16" ht="12.75">
      <c r="A55" s="10" t="s">
        <v>6</v>
      </c>
      <c r="B55" s="11"/>
      <c r="C55" s="13"/>
      <c r="D55" s="13"/>
      <c r="E55" s="24"/>
      <c r="F55" s="78"/>
      <c r="G55" s="72"/>
      <c r="H55" s="57"/>
      <c r="I55" s="57"/>
      <c r="J55" s="57"/>
      <c r="K55" s="49"/>
      <c r="L55" s="12"/>
      <c r="M55" s="12"/>
      <c r="N55" s="12"/>
      <c r="O55" s="12"/>
      <c r="P55" s="12"/>
    </row>
    <row r="56" spans="1:16" ht="12.75">
      <c r="A56" s="25"/>
      <c r="B56" s="11" t="s">
        <v>55</v>
      </c>
      <c r="C56" s="13">
        <v>2.6</v>
      </c>
      <c r="D56" s="13">
        <v>2.7</v>
      </c>
      <c r="E56" s="24">
        <v>2.78</v>
      </c>
      <c r="F56" s="78">
        <v>796</v>
      </c>
      <c r="G56" s="13">
        <v>1.4</v>
      </c>
      <c r="H56" s="12">
        <v>1110000000</v>
      </c>
      <c r="I56" s="12">
        <v>561336170</v>
      </c>
      <c r="J56" s="12">
        <f t="shared" si="0"/>
        <v>835668085</v>
      </c>
      <c r="K56" s="164" t="s">
        <v>147</v>
      </c>
      <c r="L56" s="12">
        <v>836</v>
      </c>
      <c r="M56" s="12">
        <v>650</v>
      </c>
      <c r="N56" s="12">
        <v>650</v>
      </c>
      <c r="O56" s="12"/>
      <c r="P56" s="12"/>
    </row>
    <row r="57" spans="1:16" ht="12.75">
      <c r="A57" s="116"/>
      <c r="B57" s="11" t="s">
        <v>56</v>
      </c>
      <c r="C57" s="13">
        <v>2.6</v>
      </c>
      <c r="D57" s="13">
        <v>2.7</v>
      </c>
      <c r="E57" s="24">
        <v>2.78</v>
      </c>
      <c r="F57" s="78">
        <v>756.246</v>
      </c>
      <c r="G57" s="13">
        <v>1.33</v>
      </c>
      <c r="H57" s="12">
        <v>1110000000</v>
      </c>
      <c r="I57" s="12">
        <v>533230793</v>
      </c>
      <c r="J57" s="12">
        <f t="shared" si="0"/>
        <v>821615396.5</v>
      </c>
      <c r="K57" s="49">
        <v>1441</v>
      </c>
      <c r="L57" s="12">
        <v>-619</v>
      </c>
      <c r="M57" s="12">
        <v>0</v>
      </c>
      <c r="N57" s="12">
        <f>SUM(K57+M57)</f>
        <v>1441</v>
      </c>
      <c r="O57" s="12"/>
      <c r="P57" s="12"/>
    </row>
    <row r="58" spans="1:16" ht="12.75">
      <c r="A58" s="116"/>
      <c r="B58" s="11" t="s">
        <v>57</v>
      </c>
      <c r="C58" s="13">
        <v>2.6</v>
      </c>
      <c r="D58" s="13">
        <v>2.7</v>
      </c>
      <c r="E58" s="24">
        <v>2.78</v>
      </c>
      <c r="F58" s="78">
        <v>494.667</v>
      </c>
      <c r="G58" s="13">
        <v>0.87</v>
      </c>
      <c r="H58" s="12">
        <v>1110000000</v>
      </c>
      <c r="I58" s="12">
        <v>348790839</v>
      </c>
      <c r="J58" s="12">
        <f t="shared" si="0"/>
        <v>729395419.5</v>
      </c>
      <c r="K58" s="49">
        <v>3200</v>
      </c>
      <c r="L58" s="12">
        <v>-2471</v>
      </c>
      <c r="M58" s="12">
        <v>0</v>
      </c>
      <c r="N58" s="12">
        <v>3200</v>
      </c>
      <c r="O58" s="12"/>
      <c r="P58" s="12"/>
    </row>
    <row r="59" spans="1:16" ht="13.5" thickBot="1">
      <c r="A59" s="117"/>
      <c r="B59" s="11" t="s">
        <v>58</v>
      </c>
      <c r="C59" s="13">
        <v>2.6</v>
      </c>
      <c r="D59" s="13">
        <v>2.7</v>
      </c>
      <c r="E59" s="24">
        <v>2.78</v>
      </c>
      <c r="F59" s="78">
        <v>584.685</v>
      </c>
      <c r="G59" s="13">
        <v>1.03</v>
      </c>
      <c r="H59" s="12">
        <v>1110000000</v>
      </c>
      <c r="I59" s="12">
        <v>412262737</v>
      </c>
      <c r="J59" s="12">
        <f t="shared" si="0"/>
        <v>761131368.5</v>
      </c>
      <c r="K59" s="49">
        <v>2910</v>
      </c>
      <c r="L59" s="12">
        <v>-2149</v>
      </c>
      <c r="M59" s="12">
        <v>0</v>
      </c>
      <c r="N59" s="12">
        <v>2910</v>
      </c>
      <c r="O59" s="12"/>
      <c r="P59" s="12"/>
    </row>
    <row r="60" spans="1:16" ht="14.25" thickBot="1" thickTop="1">
      <c r="A60" s="30" t="s">
        <v>124</v>
      </c>
      <c r="B60" s="31" t="s">
        <v>143</v>
      </c>
      <c r="C60" s="34">
        <f aca="true" t="shared" si="8" ref="C60:I60">SUM(C56:C59)</f>
        <v>10.4</v>
      </c>
      <c r="D60" s="34">
        <f t="shared" si="8"/>
        <v>10.8</v>
      </c>
      <c r="E60" s="34">
        <f t="shared" si="8"/>
        <v>11.12</v>
      </c>
      <c r="F60" s="76">
        <f t="shared" si="8"/>
        <v>2631.598</v>
      </c>
      <c r="G60" s="74">
        <f t="shared" si="8"/>
        <v>4.63</v>
      </c>
      <c r="H60" s="76">
        <f t="shared" si="8"/>
        <v>4440000000</v>
      </c>
      <c r="I60" s="76">
        <f t="shared" si="8"/>
        <v>1855620539</v>
      </c>
      <c r="J60" s="76">
        <f>SUM((H60+I60)/2)</f>
        <v>3147810269.5</v>
      </c>
      <c r="K60" s="75">
        <f>SUM(K57:K59)</f>
        <v>7551</v>
      </c>
      <c r="L60" s="76">
        <f>SUM((J60/1000000)-K60)</f>
        <v>-4403.1897305</v>
      </c>
      <c r="M60" s="76">
        <f>SUM(M56:M59)</f>
        <v>650</v>
      </c>
      <c r="N60" s="76">
        <f>SUM(N56:N59)</f>
        <v>8201</v>
      </c>
      <c r="O60" s="76">
        <f>SUM(O56:O59)</f>
        <v>0</v>
      </c>
      <c r="P60" s="76">
        <f>SUM(P56:P59)</f>
        <v>0</v>
      </c>
    </row>
    <row r="61" spans="1:16" s="66" customFormat="1" ht="6" customHeight="1" thickTop="1">
      <c r="A61" s="59"/>
      <c r="B61" s="60"/>
      <c r="C61" s="61"/>
      <c r="D61" s="61"/>
      <c r="E61" s="67"/>
      <c r="F61" s="63"/>
      <c r="G61" s="64"/>
      <c r="H61" s="62"/>
      <c r="I61" s="62"/>
      <c r="J61" s="62"/>
      <c r="K61" s="65"/>
      <c r="L61" s="62"/>
      <c r="M61" s="62"/>
      <c r="N61" s="62"/>
      <c r="O61" s="62"/>
      <c r="P61" s="62"/>
    </row>
    <row r="62" spans="1:16" ht="25.5">
      <c r="A62" s="10" t="s">
        <v>7</v>
      </c>
      <c r="B62" s="11"/>
      <c r="C62" s="13"/>
      <c r="D62" s="13"/>
      <c r="E62" s="12"/>
      <c r="F62" s="14"/>
      <c r="G62" s="15"/>
      <c r="H62" s="12"/>
      <c r="I62" s="12"/>
      <c r="J62" s="12"/>
      <c r="K62" s="49"/>
      <c r="L62" s="12"/>
      <c r="M62" s="12"/>
      <c r="N62" s="12"/>
      <c r="O62" s="12"/>
      <c r="P62" s="12"/>
    </row>
    <row r="63" spans="1:16" ht="12.75">
      <c r="A63" s="25"/>
      <c r="B63" s="11" t="s">
        <v>59</v>
      </c>
      <c r="C63" s="13">
        <v>0.47</v>
      </c>
      <c r="D63" s="13">
        <v>0.44</v>
      </c>
      <c r="E63" s="24">
        <v>0.39</v>
      </c>
      <c r="F63" s="12">
        <v>1080</v>
      </c>
      <c r="G63" s="13">
        <v>1.9</v>
      </c>
      <c r="H63" s="12">
        <v>155555556</v>
      </c>
      <c r="I63" s="12">
        <v>761470996</v>
      </c>
      <c r="J63" s="12">
        <f t="shared" si="0"/>
        <v>458513276</v>
      </c>
      <c r="K63" s="164" t="s">
        <v>146</v>
      </c>
      <c r="L63" s="12">
        <v>459</v>
      </c>
      <c r="M63" s="12">
        <v>350</v>
      </c>
      <c r="N63" s="12">
        <v>350</v>
      </c>
      <c r="O63" s="12"/>
      <c r="P63" s="12">
        <v>350</v>
      </c>
    </row>
    <row r="64" spans="1:16" ht="12.75">
      <c r="A64" s="116"/>
      <c r="B64" s="11" t="s">
        <v>60</v>
      </c>
      <c r="C64" s="13">
        <v>0.47</v>
      </c>
      <c r="D64" s="13">
        <v>0.44</v>
      </c>
      <c r="E64" s="24">
        <v>0.39</v>
      </c>
      <c r="F64" s="12">
        <v>718</v>
      </c>
      <c r="G64" s="15">
        <v>1.26</v>
      </c>
      <c r="H64" s="12">
        <v>155555556</v>
      </c>
      <c r="I64" s="12">
        <v>505984935</v>
      </c>
      <c r="J64" s="12">
        <f t="shared" si="0"/>
        <v>330770245.5</v>
      </c>
      <c r="K64" s="49">
        <v>450</v>
      </c>
      <c r="L64" s="12">
        <v>-119</v>
      </c>
      <c r="M64" s="12">
        <v>0</v>
      </c>
      <c r="N64" s="12">
        <v>450</v>
      </c>
      <c r="O64" s="12"/>
      <c r="P64" s="12"/>
    </row>
    <row r="65" spans="1:16" ht="12.75">
      <c r="A65" s="116"/>
      <c r="B65" s="11" t="s">
        <v>61</v>
      </c>
      <c r="C65" s="13">
        <v>0.47</v>
      </c>
      <c r="D65" s="13">
        <v>0.44</v>
      </c>
      <c r="E65" s="24">
        <v>0.39</v>
      </c>
      <c r="F65" s="12">
        <v>903</v>
      </c>
      <c r="G65" s="15">
        <v>1.59</v>
      </c>
      <c r="H65" s="12">
        <v>155555556</v>
      </c>
      <c r="I65" s="12">
        <v>636707375</v>
      </c>
      <c r="J65" s="12">
        <f t="shared" si="0"/>
        <v>396131465.5</v>
      </c>
      <c r="K65" s="49">
        <v>2700</v>
      </c>
      <c r="L65" s="12">
        <v>-2304</v>
      </c>
      <c r="M65" s="12">
        <v>0</v>
      </c>
      <c r="N65" s="12">
        <v>2700</v>
      </c>
      <c r="O65" s="12"/>
      <c r="P65" s="12"/>
    </row>
    <row r="66" spans="1:16" ht="12.75">
      <c r="A66" s="116"/>
      <c r="B66" s="11" t="s">
        <v>62</v>
      </c>
      <c r="C66" s="13">
        <v>0.47</v>
      </c>
      <c r="D66" s="13">
        <v>0.44</v>
      </c>
      <c r="E66" s="24">
        <v>0.39</v>
      </c>
      <c r="F66" s="12">
        <v>719</v>
      </c>
      <c r="G66" s="15">
        <v>1.27</v>
      </c>
      <c r="H66" s="12">
        <v>155555556</v>
      </c>
      <c r="I66" s="12">
        <v>506824712</v>
      </c>
      <c r="J66" s="12">
        <f t="shared" si="0"/>
        <v>331190134</v>
      </c>
      <c r="K66" s="164" t="s">
        <v>146</v>
      </c>
      <c r="L66" s="12">
        <v>331</v>
      </c>
      <c r="M66" s="12">
        <v>250</v>
      </c>
      <c r="N66" s="12">
        <v>250</v>
      </c>
      <c r="O66" s="12">
        <v>250</v>
      </c>
      <c r="P66" s="12">
        <v>250</v>
      </c>
    </row>
    <row r="67" spans="1:16" ht="12.75">
      <c r="A67" s="116"/>
      <c r="B67" s="11" t="s">
        <v>63</v>
      </c>
      <c r="C67" s="13">
        <v>0.47</v>
      </c>
      <c r="D67" s="13">
        <v>0.44</v>
      </c>
      <c r="E67" s="24">
        <v>0.39</v>
      </c>
      <c r="F67" s="12">
        <v>1041</v>
      </c>
      <c r="G67" s="15">
        <v>1.84</v>
      </c>
      <c r="H67" s="12">
        <v>155555556</v>
      </c>
      <c r="I67" s="12">
        <v>734011492</v>
      </c>
      <c r="J67" s="12">
        <f t="shared" si="0"/>
        <v>444783524</v>
      </c>
      <c r="K67" s="49">
        <v>2700</v>
      </c>
      <c r="L67" s="12">
        <v>-2255</v>
      </c>
      <c r="M67" s="12">
        <v>0</v>
      </c>
      <c r="N67" s="12">
        <v>2700</v>
      </c>
      <c r="O67" s="12"/>
      <c r="P67" s="12"/>
    </row>
    <row r="68" spans="1:16" ht="12.75">
      <c r="A68" s="116"/>
      <c r="B68" s="11" t="s">
        <v>64</v>
      </c>
      <c r="C68" s="13">
        <v>0.47</v>
      </c>
      <c r="D68" s="13">
        <v>0.44</v>
      </c>
      <c r="E68" s="24">
        <v>0.39</v>
      </c>
      <c r="F68" s="12">
        <v>858</v>
      </c>
      <c r="G68" s="15">
        <v>1.51</v>
      </c>
      <c r="H68" s="12">
        <v>155555556</v>
      </c>
      <c r="I68" s="12">
        <v>604739447</v>
      </c>
      <c r="J68" s="12">
        <f t="shared" si="0"/>
        <v>380147501.5</v>
      </c>
      <c r="K68" s="164" t="s">
        <v>146</v>
      </c>
      <c r="L68" s="12">
        <v>380</v>
      </c>
      <c r="M68" s="12">
        <v>300</v>
      </c>
      <c r="N68" s="12">
        <v>300</v>
      </c>
      <c r="O68" s="12">
        <v>300</v>
      </c>
      <c r="P68" s="12">
        <v>300</v>
      </c>
    </row>
    <row r="69" spans="1:16" ht="12.75">
      <c r="A69" s="116"/>
      <c r="B69" s="11" t="s">
        <v>65</v>
      </c>
      <c r="C69" s="13">
        <v>0.47</v>
      </c>
      <c r="D69" s="13">
        <v>0.44</v>
      </c>
      <c r="E69" s="24">
        <v>0.39</v>
      </c>
      <c r="F69" s="12">
        <v>670</v>
      </c>
      <c r="G69" s="15">
        <v>1.18</v>
      </c>
      <c r="H69" s="12">
        <v>155555556</v>
      </c>
      <c r="I69" s="12">
        <v>472646288</v>
      </c>
      <c r="J69" s="12">
        <f t="shared" si="0"/>
        <v>314100922</v>
      </c>
      <c r="K69" s="164" t="s">
        <v>146</v>
      </c>
      <c r="L69" s="12">
        <v>314</v>
      </c>
      <c r="M69" s="12">
        <v>250</v>
      </c>
      <c r="N69" s="12">
        <v>250</v>
      </c>
      <c r="O69" s="12"/>
      <c r="P69" s="12">
        <v>250</v>
      </c>
    </row>
    <row r="70" spans="1:16" ht="12.75">
      <c r="A70" s="116"/>
      <c r="B70" s="11" t="s">
        <v>66</v>
      </c>
      <c r="C70" s="13">
        <v>0.47</v>
      </c>
      <c r="D70" s="13">
        <v>0.44</v>
      </c>
      <c r="E70" s="24">
        <v>0.39</v>
      </c>
      <c r="F70" s="12">
        <v>280</v>
      </c>
      <c r="G70" s="15">
        <v>0.49</v>
      </c>
      <c r="H70" s="12">
        <v>155555556</v>
      </c>
      <c r="I70" s="12">
        <v>197267880</v>
      </c>
      <c r="J70" s="12">
        <f t="shared" si="0"/>
        <v>176411718</v>
      </c>
      <c r="K70" s="164" t="s">
        <v>144</v>
      </c>
      <c r="L70" s="12">
        <v>176</v>
      </c>
      <c r="M70" s="12">
        <v>150</v>
      </c>
      <c r="N70" s="12">
        <v>150</v>
      </c>
      <c r="O70" s="12">
        <v>50</v>
      </c>
      <c r="P70" s="12">
        <v>150</v>
      </c>
    </row>
    <row r="71" spans="1:16" ht="13.5" thickBot="1">
      <c r="A71" s="117"/>
      <c r="B71" s="86" t="s">
        <v>67</v>
      </c>
      <c r="C71" s="13">
        <v>0.47</v>
      </c>
      <c r="D71" s="13">
        <v>0.44</v>
      </c>
      <c r="E71" s="24">
        <v>0.39</v>
      </c>
      <c r="F71" s="29">
        <v>977</v>
      </c>
      <c r="G71" s="32">
        <v>1.72</v>
      </c>
      <c r="H71" s="12">
        <v>155555556</v>
      </c>
      <c r="I71" s="29">
        <v>689236086</v>
      </c>
      <c r="J71" s="29">
        <f t="shared" si="0"/>
        <v>422395821</v>
      </c>
      <c r="K71" s="54">
        <v>720</v>
      </c>
      <c r="L71" s="29">
        <f aca="true" t="shared" si="9" ref="L71:L84">SUM((J71/1000000)-K71)</f>
        <v>-297.604179</v>
      </c>
      <c r="M71" s="29">
        <v>0</v>
      </c>
      <c r="N71" s="29">
        <v>720</v>
      </c>
      <c r="O71" s="29"/>
      <c r="P71" s="29"/>
    </row>
    <row r="72" spans="1:16" s="88" customFormat="1" ht="14.25" thickBot="1" thickTop="1">
      <c r="A72" s="30" t="s">
        <v>124</v>
      </c>
      <c r="B72" s="31" t="s">
        <v>150</v>
      </c>
      <c r="C72" s="34">
        <f>SUM(C63:C71)</f>
        <v>4.229999999999999</v>
      </c>
      <c r="D72" s="34">
        <f>SUM(D63:D71)</f>
        <v>3.96</v>
      </c>
      <c r="E72" s="34">
        <f>SUM(E63:E71)</f>
        <v>3.5100000000000007</v>
      </c>
      <c r="F72" s="36">
        <f>SUM(F63:F71)</f>
        <v>7246</v>
      </c>
      <c r="G72" s="34">
        <f>SUM(G63:G71)</f>
        <v>12.76</v>
      </c>
      <c r="H72" s="36">
        <v>1400000000</v>
      </c>
      <c r="I72" s="36">
        <f>SUM(I63:I71)</f>
        <v>5108889211</v>
      </c>
      <c r="J72" s="36">
        <f>SUM((H72+I72)/2)</f>
        <v>3254444605.5</v>
      </c>
      <c r="K72" s="70">
        <v>6570</v>
      </c>
      <c r="L72" s="36">
        <v>6768</v>
      </c>
      <c r="M72" s="36">
        <f>SUM(M63:M71)</f>
        <v>1300</v>
      </c>
      <c r="N72" s="36">
        <f>SUM(N63:N71)</f>
        <v>7870</v>
      </c>
      <c r="O72" s="36">
        <f>SUM(O63:O71)</f>
        <v>600</v>
      </c>
      <c r="P72" s="36">
        <f>SUM(P63:P71)</f>
        <v>1300</v>
      </c>
    </row>
    <row r="73" spans="1:16" s="44" customFormat="1" ht="6" customHeight="1" thickTop="1">
      <c r="A73" s="38"/>
      <c r="B73" s="87"/>
      <c r="C73" s="40"/>
      <c r="D73" s="40"/>
      <c r="E73" s="42"/>
      <c r="F73" s="46"/>
      <c r="G73" s="47"/>
      <c r="H73" s="42"/>
      <c r="I73" s="42"/>
      <c r="J73" s="42"/>
      <c r="K73" s="55"/>
      <c r="L73" s="42"/>
      <c r="M73" s="42"/>
      <c r="N73" s="42"/>
      <c r="O73" s="42"/>
      <c r="P73" s="89"/>
    </row>
    <row r="74" spans="1:16" ht="12.75">
      <c r="A74" s="10" t="s">
        <v>8</v>
      </c>
      <c r="B74" s="11"/>
      <c r="C74" s="13"/>
      <c r="D74" s="13"/>
      <c r="E74" s="12"/>
      <c r="F74" s="14"/>
      <c r="G74" s="15"/>
      <c r="H74" s="12"/>
      <c r="I74" s="12"/>
      <c r="J74" s="12"/>
      <c r="K74" s="49"/>
      <c r="L74" s="12"/>
      <c r="M74" s="12"/>
      <c r="N74" s="12"/>
      <c r="O74" s="12"/>
      <c r="P74" s="12"/>
    </row>
    <row r="75" spans="1:16" ht="12.75">
      <c r="A75" s="25"/>
      <c r="B75" s="11" t="s">
        <v>70</v>
      </c>
      <c r="C75" s="13">
        <v>1.8</v>
      </c>
      <c r="D75" s="13">
        <v>1.81</v>
      </c>
      <c r="E75" s="24">
        <v>1.88</v>
      </c>
      <c r="F75" s="12">
        <v>963</v>
      </c>
      <c r="G75" s="13">
        <f>1.7-0.2</f>
        <v>1.5</v>
      </c>
      <c r="H75" s="12">
        <f>748000000+12000000</f>
        <v>760000000</v>
      </c>
      <c r="I75" s="187">
        <v>679013513</v>
      </c>
      <c r="J75" s="12">
        <v>713506757</v>
      </c>
      <c r="K75" s="49">
        <v>2950</v>
      </c>
      <c r="L75" s="12">
        <f t="shared" si="9"/>
        <v>-2236.493243</v>
      </c>
      <c r="M75" s="12">
        <v>0</v>
      </c>
      <c r="N75" s="12">
        <f>SUM(K75+M75)</f>
        <v>2950</v>
      </c>
      <c r="O75" s="12"/>
      <c r="P75" s="12"/>
    </row>
    <row r="76" spans="1:16" ht="12.75">
      <c r="A76" s="116"/>
      <c r="B76" s="11" t="s">
        <v>71</v>
      </c>
      <c r="C76" s="13">
        <v>1.8</v>
      </c>
      <c r="D76" s="13">
        <v>1.81</v>
      </c>
      <c r="E76" s="24">
        <v>1.88</v>
      </c>
      <c r="F76" s="12">
        <v>955.001</v>
      </c>
      <c r="G76" s="13">
        <v>1.68</v>
      </c>
      <c r="H76" s="12">
        <f aca="true" t="shared" si="10" ref="H76:H84">748000000+12000000</f>
        <v>760000000</v>
      </c>
      <c r="I76" s="187">
        <v>673373400</v>
      </c>
      <c r="J76" s="12">
        <v>710686700</v>
      </c>
      <c r="K76" s="166" t="s">
        <v>152</v>
      </c>
      <c r="L76" s="12">
        <v>711</v>
      </c>
      <c r="M76" s="12">
        <v>550</v>
      </c>
      <c r="N76" s="12">
        <v>550</v>
      </c>
      <c r="O76" s="12">
        <v>100</v>
      </c>
      <c r="P76" s="12">
        <v>550</v>
      </c>
    </row>
    <row r="77" spans="1:16" ht="12.75">
      <c r="A77" s="116"/>
      <c r="B77" s="11" t="s">
        <v>72</v>
      </c>
      <c r="C77" s="13">
        <v>1.8</v>
      </c>
      <c r="D77" s="13">
        <v>1.81</v>
      </c>
      <c r="E77" s="24">
        <v>1.88</v>
      </c>
      <c r="F77" s="12">
        <v>1462</v>
      </c>
      <c r="G77" s="13">
        <v>2.58</v>
      </c>
      <c r="H77" s="12">
        <f t="shared" si="10"/>
        <v>760000000</v>
      </c>
      <c r="I77" s="12">
        <v>1030859560</v>
      </c>
      <c r="J77" s="12">
        <v>889429780</v>
      </c>
      <c r="K77" s="49">
        <v>3500</v>
      </c>
      <c r="L77" s="12">
        <f t="shared" si="9"/>
        <v>-2610.57022</v>
      </c>
      <c r="M77" s="12">
        <v>0</v>
      </c>
      <c r="N77" s="12">
        <f aca="true" t="shared" si="11" ref="N77:N82">SUM(K77+M77)</f>
        <v>3500</v>
      </c>
      <c r="O77" s="12"/>
      <c r="P77" s="12"/>
    </row>
    <row r="78" spans="1:16" ht="12.75">
      <c r="A78" s="116"/>
      <c r="B78" s="11" t="s">
        <v>73</v>
      </c>
      <c r="C78" s="13">
        <v>1.8</v>
      </c>
      <c r="D78" s="13">
        <v>1.81</v>
      </c>
      <c r="E78" s="24">
        <v>1.88</v>
      </c>
      <c r="F78" s="12">
        <v>494.704</v>
      </c>
      <c r="G78" s="13">
        <v>0.87</v>
      </c>
      <c r="H78" s="12">
        <f t="shared" si="10"/>
        <v>760000000</v>
      </c>
      <c r="I78" s="12">
        <v>348816927</v>
      </c>
      <c r="J78" s="12">
        <v>548408464</v>
      </c>
      <c r="K78" s="49">
        <v>3000</v>
      </c>
      <c r="L78" s="12">
        <f t="shared" si="9"/>
        <v>-2451.591536</v>
      </c>
      <c r="M78" s="12">
        <v>0</v>
      </c>
      <c r="N78" s="12">
        <f t="shared" si="11"/>
        <v>3000</v>
      </c>
      <c r="O78" s="12"/>
      <c r="P78" s="12"/>
    </row>
    <row r="79" spans="1:16" ht="12.75">
      <c r="A79" s="116"/>
      <c r="B79" s="11" t="s">
        <v>74</v>
      </c>
      <c r="C79" s="13">
        <v>1.8</v>
      </c>
      <c r="D79" s="13">
        <v>1.81</v>
      </c>
      <c r="E79" s="24">
        <v>1.88</v>
      </c>
      <c r="F79" s="12">
        <v>510.02</v>
      </c>
      <c r="G79" s="13">
        <v>0.9</v>
      </c>
      <c r="H79" s="12">
        <f t="shared" si="10"/>
        <v>760000000</v>
      </c>
      <c r="I79" s="12">
        <v>359616274</v>
      </c>
      <c r="J79" s="12">
        <v>553808137</v>
      </c>
      <c r="K79" s="49">
        <v>1816</v>
      </c>
      <c r="L79" s="12">
        <f t="shared" si="9"/>
        <v>-1262.191863</v>
      </c>
      <c r="M79" s="12">
        <v>0</v>
      </c>
      <c r="N79" s="12">
        <f t="shared" si="11"/>
        <v>1816</v>
      </c>
      <c r="O79" s="12"/>
      <c r="P79" s="12"/>
    </row>
    <row r="80" spans="1:16" ht="12.75">
      <c r="A80" s="116"/>
      <c r="B80" s="11" t="s">
        <v>75</v>
      </c>
      <c r="C80" s="13">
        <v>1.8</v>
      </c>
      <c r="D80" s="13">
        <v>1.81</v>
      </c>
      <c r="E80" s="24">
        <v>1.88</v>
      </c>
      <c r="F80" s="12">
        <v>573</v>
      </c>
      <c r="G80" s="13">
        <v>1.01</v>
      </c>
      <c r="H80" s="12">
        <f t="shared" si="10"/>
        <v>760000000</v>
      </c>
      <c r="I80" s="12">
        <v>404023617</v>
      </c>
      <c r="J80" s="12">
        <v>576011808</v>
      </c>
      <c r="K80" s="49">
        <v>2695</v>
      </c>
      <c r="L80" s="12">
        <f t="shared" si="9"/>
        <v>-2118.988192</v>
      </c>
      <c r="M80" s="12">
        <v>0</v>
      </c>
      <c r="N80" s="12">
        <f t="shared" si="11"/>
        <v>2695</v>
      </c>
      <c r="O80" s="12"/>
      <c r="P80" s="12"/>
    </row>
    <row r="81" spans="1:16" ht="12.75">
      <c r="A81" s="116"/>
      <c r="B81" s="11" t="s">
        <v>76</v>
      </c>
      <c r="C81" s="13">
        <v>1.8</v>
      </c>
      <c r="D81" s="13">
        <v>1.81</v>
      </c>
      <c r="E81" s="24">
        <v>1.88</v>
      </c>
      <c r="F81" s="12">
        <v>750</v>
      </c>
      <c r="G81" s="13">
        <v>1.32</v>
      </c>
      <c r="H81" s="12">
        <f t="shared" si="10"/>
        <v>760000000</v>
      </c>
      <c r="I81" s="12">
        <v>528826724</v>
      </c>
      <c r="J81" s="12">
        <v>638413362</v>
      </c>
      <c r="K81" s="49">
        <v>3500</v>
      </c>
      <c r="L81" s="12">
        <f t="shared" si="9"/>
        <v>-2861.5866379999998</v>
      </c>
      <c r="M81" s="12">
        <v>0</v>
      </c>
      <c r="N81" s="12">
        <f t="shared" si="11"/>
        <v>3500</v>
      </c>
      <c r="O81" s="12"/>
      <c r="P81" s="12"/>
    </row>
    <row r="82" spans="1:16" ht="12.75">
      <c r="A82" s="116"/>
      <c r="B82" s="11" t="s">
        <v>77</v>
      </c>
      <c r="C82" s="13">
        <v>1.8</v>
      </c>
      <c r="D82" s="13">
        <v>1.81</v>
      </c>
      <c r="E82" s="24">
        <v>1.88</v>
      </c>
      <c r="F82" s="12">
        <v>359.87</v>
      </c>
      <c r="G82" s="13">
        <v>0.63</v>
      </c>
      <c r="H82" s="12">
        <f t="shared" si="10"/>
        <v>760000000</v>
      </c>
      <c r="I82" s="12">
        <v>253745164</v>
      </c>
      <c r="J82" s="12">
        <v>500872582</v>
      </c>
      <c r="K82" s="49">
        <v>2800</v>
      </c>
      <c r="L82" s="12">
        <f t="shared" si="9"/>
        <v>-2299.127418</v>
      </c>
      <c r="M82" s="12">
        <v>0</v>
      </c>
      <c r="N82" s="12">
        <f t="shared" si="11"/>
        <v>2800</v>
      </c>
      <c r="O82" s="12"/>
      <c r="P82" s="12"/>
    </row>
    <row r="83" spans="1:16" ht="12.75">
      <c r="A83" s="116"/>
      <c r="B83" s="11" t="s">
        <v>78</v>
      </c>
      <c r="C83" s="13">
        <v>1.8</v>
      </c>
      <c r="D83" s="13">
        <v>1.81</v>
      </c>
      <c r="E83" s="24">
        <v>1.88</v>
      </c>
      <c r="F83" s="12">
        <v>70</v>
      </c>
      <c r="G83" s="13">
        <v>0.12</v>
      </c>
      <c r="H83" s="12">
        <f t="shared" si="10"/>
        <v>760000000</v>
      </c>
      <c r="I83" s="12">
        <v>49357161</v>
      </c>
      <c r="J83" s="12">
        <v>398678580</v>
      </c>
      <c r="K83" s="164" t="s">
        <v>144</v>
      </c>
      <c r="L83" s="12">
        <v>399</v>
      </c>
      <c r="M83" s="12">
        <v>300</v>
      </c>
      <c r="N83" s="12">
        <v>300</v>
      </c>
      <c r="O83" s="12"/>
      <c r="P83" s="12">
        <v>270</v>
      </c>
    </row>
    <row r="84" spans="1:16" ht="13.5" thickBot="1">
      <c r="A84" s="117"/>
      <c r="B84" s="26" t="s">
        <v>79</v>
      </c>
      <c r="C84" s="13">
        <v>1.8</v>
      </c>
      <c r="D84" s="13">
        <v>1.81</v>
      </c>
      <c r="E84" s="24">
        <v>1.88</v>
      </c>
      <c r="F84" s="29">
        <v>1167.494</v>
      </c>
      <c r="G84" s="27">
        <v>2.06</v>
      </c>
      <c r="H84" s="12">
        <f t="shared" si="10"/>
        <v>760000000</v>
      </c>
      <c r="I84" s="12">
        <v>823202703</v>
      </c>
      <c r="J84" s="29">
        <v>785601351</v>
      </c>
      <c r="K84" s="54">
        <v>2260</v>
      </c>
      <c r="L84" s="29">
        <f t="shared" si="9"/>
        <v>-1474.398649</v>
      </c>
      <c r="M84" s="29">
        <v>0</v>
      </c>
      <c r="N84" s="29">
        <f>SUM(K84+M84)</f>
        <v>2260</v>
      </c>
      <c r="O84" s="29"/>
      <c r="P84" s="29"/>
    </row>
    <row r="85" spans="1:16" s="88" customFormat="1" ht="14.25" thickBot="1" thickTop="1">
      <c r="A85" s="30" t="s">
        <v>124</v>
      </c>
      <c r="B85" s="31" t="s">
        <v>151</v>
      </c>
      <c r="C85" s="34">
        <f aca="true" t="shared" si="12" ref="C85:I85">SUM(C75:C84)</f>
        <v>18.000000000000004</v>
      </c>
      <c r="D85" s="34">
        <f t="shared" si="12"/>
        <v>18.1</v>
      </c>
      <c r="E85" s="34">
        <f t="shared" si="12"/>
        <v>18.799999999999994</v>
      </c>
      <c r="F85" s="36">
        <f t="shared" si="12"/>
        <v>7305.089</v>
      </c>
      <c r="G85" s="34">
        <f t="shared" si="12"/>
        <v>12.670000000000002</v>
      </c>
      <c r="H85" s="36">
        <f t="shared" si="12"/>
        <v>7600000000</v>
      </c>
      <c r="I85" s="36">
        <f t="shared" si="12"/>
        <v>5150835043</v>
      </c>
      <c r="J85" s="36">
        <f>SUM((H85+I85)/2)</f>
        <v>6375417521.5</v>
      </c>
      <c r="K85" s="70">
        <f>SUM(K75:K84)</f>
        <v>22521</v>
      </c>
      <c r="L85" s="36">
        <f>SUM((J85/1000000)-K85)</f>
        <v>-16145.5824785</v>
      </c>
      <c r="M85" s="36">
        <f>SUM(M75:M84)</f>
        <v>850</v>
      </c>
      <c r="N85" s="36">
        <f>SUM(K85+M85)</f>
        <v>23371</v>
      </c>
      <c r="O85" s="36">
        <f>SUM(O75:O84)</f>
        <v>100</v>
      </c>
      <c r="P85" s="36">
        <f>SUM(P75:P84)</f>
        <v>820</v>
      </c>
    </row>
    <row r="86" spans="1:16" s="97" customFormat="1" ht="6" customHeight="1" thickTop="1">
      <c r="A86" s="90"/>
      <c r="B86" s="91"/>
      <c r="C86" s="92"/>
      <c r="D86" s="92"/>
      <c r="E86" s="98"/>
      <c r="F86" s="94"/>
      <c r="G86" s="95"/>
      <c r="H86" s="93"/>
      <c r="I86" s="93"/>
      <c r="J86" s="93"/>
      <c r="K86" s="96"/>
      <c r="L86" s="93"/>
      <c r="M86" s="93"/>
      <c r="N86" s="93"/>
      <c r="O86" s="93"/>
      <c r="P86" s="89"/>
    </row>
    <row r="87" spans="1:16" ht="12.75">
      <c r="A87" s="10" t="s">
        <v>10</v>
      </c>
      <c r="B87" s="11"/>
      <c r="C87" s="13"/>
      <c r="D87" s="13"/>
      <c r="E87" s="12"/>
      <c r="F87" s="14"/>
      <c r="G87" s="15"/>
      <c r="H87" s="12"/>
      <c r="I87" s="12"/>
      <c r="J87" s="12"/>
      <c r="K87" s="49"/>
      <c r="L87" s="12"/>
      <c r="M87" s="12"/>
      <c r="N87" s="12"/>
      <c r="O87" s="12"/>
      <c r="P87" s="12"/>
    </row>
    <row r="88" spans="1:16" ht="12.75">
      <c r="A88" s="25"/>
      <c r="B88" s="11" t="s">
        <v>84</v>
      </c>
      <c r="C88" s="13">
        <v>2.84</v>
      </c>
      <c r="D88" s="13">
        <v>2.96</v>
      </c>
      <c r="E88" s="24">
        <v>3.04</v>
      </c>
      <c r="F88" s="12">
        <v>1597.527</v>
      </c>
      <c r="G88" s="13">
        <v>2.82</v>
      </c>
      <c r="H88" s="12">
        <v>1216000000</v>
      </c>
      <c r="I88" s="12">
        <v>1126419959</v>
      </c>
      <c r="J88" s="12">
        <f aca="true" t="shared" si="13" ref="J88:J93">SUM((H88+I88)/2)</f>
        <v>1171209979.5</v>
      </c>
      <c r="K88" s="49">
        <v>3230</v>
      </c>
      <c r="L88" s="12">
        <v>-2059</v>
      </c>
      <c r="M88" s="12">
        <v>0</v>
      </c>
      <c r="N88" s="12">
        <f>SUM(K88+M88)</f>
        <v>3230</v>
      </c>
      <c r="O88" s="12"/>
      <c r="P88" s="12"/>
    </row>
    <row r="89" spans="1:16" ht="12.75">
      <c r="A89" s="116"/>
      <c r="B89" s="11" t="s">
        <v>85</v>
      </c>
      <c r="C89" s="13">
        <v>2.84</v>
      </c>
      <c r="D89" s="13">
        <v>2.96</v>
      </c>
      <c r="E89" s="24">
        <v>3.04</v>
      </c>
      <c r="F89" s="12">
        <v>1055.316</v>
      </c>
      <c r="G89" s="13">
        <v>1.86</v>
      </c>
      <c r="H89" s="12">
        <v>1216000000</v>
      </c>
      <c r="I89" s="12">
        <v>744105737</v>
      </c>
      <c r="J89" s="12">
        <f t="shared" si="13"/>
        <v>980052868.5</v>
      </c>
      <c r="K89" s="49">
        <v>3150</v>
      </c>
      <c r="L89" s="12">
        <v>-2170</v>
      </c>
      <c r="M89" s="12">
        <v>0</v>
      </c>
      <c r="N89" s="12">
        <f>SUM(K89+M89)</f>
        <v>3150</v>
      </c>
      <c r="O89" s="12"/>
      <c r="P89" s="12"/>
    </row>
    <row r="90" spans="1:16" ht="12.75">
      <c r="A90" s="116"/>
      <c r="B90" s="11" t="s">
        <v>86</v>
      </c>
      <c r="C90" s="13">
        <v>2.84</v>
      </c>
      <c r="D90" s="13">
        <v>2.96</v>
      </c>
      <c r="E90" s="24">
        <v>3.04</v>
      </c>
      <c r="F90" s="12">
        <v>1143</v>
      </c>
      <c r="G90" s="13">
        <v>2.02</v>
      </c>
      <c r="H90" s="12">
        <v>1216000000</v>
      </c>
      <c r="I90" s="12">
        <v>805931927</v>
      </c>
      <c r="J90" s="12">
        <f t="shared" si="13"/>
        <v>1010965963.5</v>
      </c>
      <c r="K90" s="49">
        <v>2999</v>
      </c>
      <c r="L90" s="12">
        <v>-1988</v>
      </c>
      <c r="M90" s="12">
        <v>0</v>
      </c>
      <c r="N90" s="12">
        <f>SUM(K90+M90)</f>
        <v>2999</v>
      </c>
      <c r="O90" s="12"/>
      <c r="P90" s="12"/>
    </row>
    <row r="91" spans="1:16" ht="12.75">
      <c r="A91" s="116"/>
      <c r="B91" s="11" t="s">
        <v>87</v>
      </c>
      <c r="C91" s="13">
        <v>2.84</v>
      </c>
      <c r="D91" s="13">
        <v>2.96</v>
      </c>
      <c r="E91" s="24">
        <v>3.04</v>
      </c>
      <c r="F91" s="12">
        <v>2053.06</v>
      </c>
      <c r="G91" s="13">
        <v>3.62</v>
      </c>
      <c r="H91" s="12">
        <v>1216000000</v>
      </c>
      <c r="I91" s="12">
        <v>1447617324</v>
      </c>
      <c r="J91" s="12">
        <f t="shared" si="13"/>
        <v>1331808662</v>
      </c>
      <c r="K91" s="49">
        <v>3500</v>
      </c>
      <c r="L91" s="12">
        <v>-2168</v>
      </c>
      <c r="M91" s="12">
        <v>0</v>
      </c>
      <c r="N91" s="12">
        <f>SUM(K91+M91)</f>
        <v>3500</v>
      </c>
      <c r="O91" s="12"/>
      <c r="P91" s="12"/>
    </row>
    <row r="92" spans="1:16" ht="13.5" thickBot="1">
      <c r="A92" s="117"/>
      <c r="B92" s="26" t="s">
        <v>88</v>
      </c>
      <c r="C92" s="13">
        <v>2.84</v>
      </c>
      <c r="D92" s="13">
        <v>2.96</v>
      </c>
      <c r="E92" s="24">
        <v>3.04</v>
      </c>
      <c r="F92" s="29">
        <v>1301</v>
      </c>
      <c r="G92" s="27">
        <v>2.29</v>
      </c>
      <c r="H92" s="12">
        <v>1216000000</v>
      </c>
      <c r="I92" s="29">
        <v>917749870</v>
      </c>
      <c r="J92" s="29">
        <f t="shared" si="13"/>
        <v>1066874935</v>
      </c>
      <c r="K92" s="165" t="s">
        <v>147</v>
      </c>
      <c r="L92" s="29">
        <v>1067</v>
      </c>
      <c r="M92" s="29">
        <v>800</v>
      </c>
      <c r="N92" s="29">
        <v>800</v>
      </c>
      <c r="O92" s="29"/>
      <c r="P92" s="29"/>
    </row>
    <row r="93" spans="1:16" s="88" customFormat="1" ht="14.25" thickBot="1" thickTop="1">
      <c r="A93" s="30" t="s">
        <v>124</v>
      </c>
      <c r="B93" s="31" t="s">
        <v>153</v>
      </c>
      <c r="C93" s="34">
        <f aca="true" t="shared" si="14" ref="C93:I93">SUM(C88:C92)</f>
        <v>14.2</v>
      </c>
      <c r="D93" s="34">
        <f t="shared" si="14"/>
        <v>14.8</v>
      </c>
      <c r="E93" s="34">
        <f t="shared" si="14"/>
        <v>15.2</v>
      </c>
      <c r="F93" s="36">
        <f t="shared" si="14"/>
        <v>7149.903</v>
      </c>
      <c r="G93" s="34">
        <f t="shared" si="14"/>
        <v>12.61</v>
      </c>
      <c r="H93" s="36">
        <f t="shared" si="14"/>
        <v>6080000000</v>
      </c>
      <c r="I93" s="36">
        <f t="shared" si="14"/>
        <v>5041824817</v>
      </c>
      <c r="J93" s="36">
        <f t="shared" si="13"/>
        <v>5560912408.5</v>
      </c>
      <c r="K93" s="70">
        <f>SUM(K88:K92)</f>
        <v>12879</v>
      </c>
      <c r="L93" s="36">
        <f>SUM(L88:L92)</f>
        <v>-7318</v>
      </c>
      <c r="M93" s="36">
        <f>SUM(M88:M92)</f>
        <v>800</v>
      </c>
      <c r="N93" s="36">
        <f>SUM(N88:N92)</f>
        <v>13679</v>
      </c>
      <c r="O93" s="36">
        <f>SUM(O87:O92)</f>
        <v>0</v>
      </c>
      <c r="P93" s="36">
        <f>SUM(P87:P92)</f>
        <v>0</v>
      </c>
    </row>
    <row r="94" spans="1:16" s="44" customFormat="1" ht="6" customHeight="1" thickTop="1">
      <c r="A94" s="38"/>
      <c r="B94" s="45"/>
      <c r="C94" s="40"/>
      <c r="D94" s="40"/>
      <c r="E94" s="42"/>
      <c r="F94" s="46"/>
      <c r="G94" s="47"/>
      <c r="H94" s="42"/>
      <c r="I94" s="42"/>
      <c r="J94" s="42"/>
      <c r="K94" s="55"/>
      <c r="L94" s="42"/>
      <c r="M94" s="42"/>
      <c r="N94" s="42"/>
      <c r="O94" s="42"/>
      <c r="P94" s="89"/>
    </row>
    <row r="95" spans="1:16" s="3" customFormat="1" ht="13.5" thickBot="1">
      <c r="A95" s="107"/>
      <c r="B95" s="108"/>
      <c r="C95" s="109"/>
      <c r="D95" s="109"/>
      <c r="E95" s="110"/>
      <c r="F95" s="111"/>
      <c r="G95" s="112"/>
      <c r="H95" s="110"/>
      <c r="I95" s="110"/>
      <c r="J95" s="110"/>
      <c r="K95" s="113"/>
      <c r="L95" s="110"/>
      <c r="M95" s="110"/>
      <c r="N95" s="110"/>
      <c r="O95" s="110"/>
      <c r="P95" s="124"/>
    </row>
    <row r="96" spans="1:16" s="163" customFormat="1" ht="22.5" customHeight="1" thickBot="1" thickTop="1">
      <c r="A96" s="157" t="s">
        <v>161</v>
      </c>
      <c r="B96" s="158" t="s">
        <v>154</v>
      </c>
      <c r="C96" s="159">
        <f aca="true" t="shared" si="15" ref="C96:P96">C13+C17+C31+C36+C46+C53+C60+C72+C85+C93</f>
        <v>100</v>
      </c>
      <c r="D96" s="159">
        <f t="shared" si="15"/>
        <v>99.99999999999999</v>
      </c>
      <c r="E96" s="160">
        <f t="shared" si="15"/>
        <v>100</v>
      </c>
      <c r="F96" s="161">
        <f t="shared" si="15"/>
        <v>56729.39</v>
      </c>
      <c r="G96" s="159">
        <f t="shared" si="15"/>
        <v>100.00000000000001</v>
      </c>
      <c r="H96" s="161">
        <f t="shared" si="15"/>
        <v>40000000000</v>
      </c>
      <c r="I96" s="161">
        <f t="shared" si="15"/>
        <v>40000000000</v>
      </c>
      <c r="J96" s="161">
        <f t="shared" si="15"/>
        <v>40000000000</v>
      </c>
      <c r="K96" s="162">
        <f t="shared" si="15"/>
        <v>84531</v>
      </c>
      <c r="L96" s="161">
        <f t="shared" si="15"/>
        <v>-31822.278439499998</v>
      </c>
      <c r="M96" s="161">
        <f t="shared" si="15"/>
        <v>11615</v>
      </c>
      <c r="N96" s="161">
        <f t="shared" si="15"/>
        <v>96146</v>
      </c>
      <c r="O96" s="161">
        <f t="shared" si="15"/>
        <v>1250</v>
      </c>
      <c r="P96" s="161">
        <f t="shared" si="15"/>
        <v>3968</v>
      </c>
    </row>
    <row r="97" spans="1:16" ht="13.5" thickTop="1">
      <c r="A97" s="188"/>
      <c r="B97" s="3"/>
      <c r="C97" s="7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89"/>
    </row>
    <row r="98" spans="1:16" s="106" customFormat="1" ht="6.75" customHeight="1">
      <c r="A98" s="99"/>
      <c r="B98" s="100"/>
      <c r="C98" s="101"/>
      <c r="D98" s="101"/>
      <c r="E98" s="102"/>
      <c r="F98" s="103"/>
      <c r="G98" s="104"/>
      <c r="H98" s="102"/>
      <c r="I98" s="102"/>
      <c r="J98" s="102"/>
      <c r="K98" s="105"/>
      <c r="L98" s="102"/>
      <c r="M98" s="102"/>
      <c r="N98" s="102"/>
      <c r="O98" s="102"/>
      <c r="P98" s="114"/>
    </row>
    <row r="99" spans="1:16" ht="12.75">
      <c r="A99" s="10"/>
      <c r="B99" s="11"/>
      <c r="C99" s="13"/>
      <c r="D99" s="13"/>
      <c r="E99" s="12"/>
      <c r="F99" s="14"/>
      <c r="G99" s="15"/>
      <c r="H99" s="12"/>
      <c r="I99" s="12"/>
      <c r="J99" s="12"/>
      <c r="K99" s="49"/>
      <c r="L99" s="12"/>
      <c r="M99" s="12"/>
      <c r="N99" s="12"/>
      <c r="O99" s="12"/>
      <c r="P99" s="12"/>
    </row>
    <row r="100" spans="1:16" ht="12.75">
      <c r="A100" s="10" t="s">
        <v>9</v>
      </c>
      <c r="B100" s="11"/>
      <c r="C100" s="13"/>
      <c r="D100" s="13"/>
      <c r="E100" s="12"/>
      <c r="F100" s="14"/>
      <c r="G100" s="15"/>
      <c r="H100" s="12"/>
      <c r="I100" s="12"/>
      <c r="J100" s="12"/>
      <c r="K100" s="49"/>
      <c r="L100" s="12"/>
      <c r="M100" s="12"/>
      <c r="N100" s="12"/>
      <c r="O100" s="12"/>
      <c r="P100" s="12"/>
    </row>
    <row r="101" spans="1:16" ht="12.75">
      <c r="A101" s="25"/>
      <c r="B101" s="11" t="s">
        <v>68</v>
      </c>
      <c r="C101" s="13">
        <v>30</v>
      </c>
      <c r="D101" s="13">
        <v>30</v>
      </c>
      <c r="E101" s="12">
        <v>30</v>
      </c>
      <c r="F101" s="12">
        <v>2053.06</v>
      </c>
      <c r="G101" s="15">
        <v>1.79</v>
      </c>
      <c r="H101" s="12">
        <v>6000000000</v>
      </c>
      <c r="I101" s="12">
        <v>4898845262</v>
      </c>
      <c r="J101" s="12">
        <f aca="true" t="shared" si="16" ref="J101:J176">SUM((H101+I101)/2)</f>
        <v>5449422631</v>
      </c>
      <c r="K101" s="49">
        <v>3000</v>
      </c>
      <c r="L101" s="12">
        <f>SUM((J101/1000000)-K101)</f>
        <v>2449.4226310000004</v>
      </c>
      <c r="M101" s="12">
        <v>1900</v>
      </c>
      <c r="N101" s="12">
        <f aca="true" t="shared" si="17" ref="N101:N108">SUM(K101+M101)</f>
        <v>4900</v>
      </c>
      <c r="O101" s="12"/>
      <c r="P101" s="12">
        <v>1690</v>
      </c>
    </row>
    <row r="102" spans="1:16" ht="13.5" thickBot="1">
      <c r="A102" s="117"/>
      <c r="B102" s="26" t="s">
        <v>69</v>
      </c>
      <c r="C102" s="27">
        <v>30</v>
      </c>
      <c r="D102" s="27">
        <v>30</v>
      </c>
      <c r="E102" s="29">
        <v>30</v>
      </c>
      <c r="F102" s="29">
        <v>761.261</v>
      </c>
      <c r="G102" s="32">
        <v>0.66</v>
      </c>
      <c r="H102" s="29">
        <v>6000000000</v>
      </c>
      <c r="I102" s="29">
        <v>1816459257</v>
      </c>
      <c r="J102" s="29">
        <f t="shared" si="16"/>
        <v>3908229628.5</v>
      </c>
      <c r="K102" s="29">
        <v>1722</v>
      </c>
      <c r="L102" s="29">
        <f>SUM((J102/1000000)-K102)</f>
        <v>2186.2296285</v>
      </c>
      <c r="M102" s="29">
        <v>1700</v>
      </c>
      <c r="N102" s="29">
        <f t="shared" si="17"/>
        <v>3422</v>
      </c>
      <c r="O102" s="29"/>
      <c r="P102" s="29">
        <v>1700</v>
      </c>
    </row>
    <row r="103" spans="1:16" s="88" customFormat="1" ht="14.25" thickBot="1" thickTop="1">
      <c r="A103" s="30" t="s">
        <v>124</v>
      </c>
      <c r="B103" s="31" t="s">
        <v>136</v>
      </c>
      <c r="C103" s="34">
        <f>SUM(C101:C102)</f>
        <v>60</v>
      </c>
      <c r="D103" s="34">
        <f>SUM(D101:D102)</f>
        <v>60</v>
      </c>
      <c r="E103" s="35">
        <f>SUM(E101:E102)</f>
        <v>60</v>
      </c>
      <c r="F103" s="36">
        <f>SUM(F101:F102)</f>
        <v>2814.321</v>
      </c>
      <c r="G103" s="33">
        <v>33.58</v>
      </c>
      <c r="H103" s="36">
        <f>SUM(H101:H102)</f>
        <v>12000000000</v>
      </c>
      <c r="I103" s="36">
        <f>SUM(I101:I102)</f>
        <v>6715304519</v>
      </c>
      <c r="J103" s="36">
        <f>SUM((H103+I103)/2)</f>
        <v>9357652259.5</v>
      </c>
      <c r="K103" s="70">
        <f>SUM(K101:K102)</f>
        <v>4722</v>
      </c>
      <c r="L103" s="36">
        <f>SUM((J103/1000000)-K103)</f>
        <v>4635.652259500001</v>
      </c>
      <c r="M103" s="36">
        <f>SUM(M101:M102)</f>
        <v>3600</v>
      </c>
      <c r="N103" s="36">
        <f>SUM(K103+M103)</f>
        <v>8322</v>
      </c>
      <c r="O103" s="36">
        <f>SUM(O101:O102)</f>
        <v>0</v>
      </c>
      <c r="P103" s="36">
        <f>SUM(P101:P102)</f>
        <v>3390</v>
      </c>
    </row>
    <row r="104" spans="1:16" s="44" customFormat="1" ht="6" customHeight="1" thickTop="1">
      <c r="A104" s="38"/>
      <c r="B104" s="45"/>
      <c r="C104" s="40"/>
      <c r="D104" s="40"/>
      <c r="E104" s="42"/>
      <c r="F104" s="46"/>
      <c r="G104" s="47"/>
      <c r="H104" s="42"/>
      <c r="I104" s="42"/>
      <c r="J104" s="42"/>
      <c r="K104" s="42"/>
      <c r="L104" s="42"/>
      <c r="M104" s="42"/>
      <c r="N104" s="42"/>
      <c r="O104" s="42"/>
      <c r="P104" s="185"/>
    </row>
    <row r="105" spans="1:16" ht="12.75">
      <c r="A105" s="10" t="s">
        <v>19</v>
      </c>
      <c r="B105" s="11"/>
      <c r="C105" s="13"/>
      <c r="D105" s="13"/>
      <c r="E105" s="12"/>
      <c r="F105" s="14"/>
      <c r="G105" s="15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25"/>
      <c r="B106" s="11" t="s">
        <v>80</v>
      </c>
      <c r="C106" s="13">
        <v>10</v>
      </c>
      <c r="D106" s="13">
        <v>10</v>
      </c>
      <c r="E106" s="24">
        <v>10</v>
      </c>
      <c r="F106" s="12">
        <v>1191.14</v>
      </c>
      <c r="G106" s="13">
        <v>1.04</v>
      </c>
      <c r="H106" s="12">
        <v>2000000000</v>
      </c>
      <c r="I106" s="12">
        <v>2842201662</v>
      </c>
      <c r="J106" s="12">
        <f t="shared" si="16"/>
        <v>2421100831</v>
      </c>
      <c r="K106" s="12">
        <v>3390</v>
      </c>
      <c r="L106" s="12">
        <f>SUM((J106/1000000)-K106)</f>
        <v>-968.8991689999998</v>
      </c>
      <c r="M106" s="12">
        <v>0</v>
      </c>
      <c r="N106" s="12">
        <f t="shared" si="17"/>
        <v>3390</v>
      </c>
      <c r="O106" s="12"/>
      <c r="P106" s="12"/>
    </row>
    <row r="107" spans="1:16" ht="12.75">
      <c r="A107" s="116"/>
      <c r="B107" s="22" t="s">
        <v>81</v>
      </c>
      <c r="C107" s="13">
        <v>10</v>
      </c>
      <c r="D107" s="13">
        <v>10</v>
      </c>
      <c r="E107" s="24">
        <v>10</v>
      </c>
      <c r="F107" s="12">
        <v>1687.869</v>
      </c>
      <c r="G107" s="13">
        <v>1.47</v>
      </c>
      <c r="H107" s="12">
        <v>2000000000</v>
      </c>
      <c r="I107" s="12">
        <v>4027456116</v>
      </c>
      <c r="J107" s="12">
        <f t="shared" si="16"/>
        <v>3013728058</v>
      </c>
      <c r="K107" s="12">
        <v>4456</v>
      </c>
      <c r="L107" s="12">
        <f>SUM((J107/1000000)-K107)</f>
        <v>-1442.2719419999999</v>
      </c>
      <c r="M107" s="12">
        <v>0</v>
      </c>
      <c r="N107" s="12">
        <f t="shared" si="17"/>
        <v>4456</v>
      </c>
      <c r="O107" s="12"/>
      <c r="P107" s="12"/>
    </row>
    <row r="108" spans="1:16" ht="12.75">
      <c r="A108" s="116"/>
      <c r="B108" s="11" t="s">
        <v>83</v>
      </c>
      <c r="C108" s="13">
        <v>10</v>
      </c>
      <c r="D108" s="13">
        <v>10</v>
      </c>
      <c r="E108" s="24">
        <v>10</v>
      </c>
      <c r="F108" s="12">
        <v>1312.713</v>
      </c>
      <c r="G108" s="13">
        <v>1.14</v>
      </c>
      <c r="H108" s="12">
        <v>2000000000</v>
      </c>
      <c r="I108" s="12">
        <v>3132289295</v>
      </c>
      <c r="J108" s="12">
        <f t="shared" si="16"/>
        <v>2566144647.5</v>
      </c>
      <c r="K108" s="12">
        <v>1000</v>
      </c>
      <c r="L108" s="12">
        <f>SUM((J108/1000000)-K108)</f>
        <v>1566.1446474999998</v>
      </c>
      <c r="M108" s="12">
        <v>1200</v>
      </c>
      <c r="N108" s="12">
        <f t="shared" si="17"/>
        <v>2200</v>
      </c>
      <c r="O108" s="12"/>
      <c r="P108" s="12">
        <v>1200</v>
      </c>
    </row>
    <row r="109" spans="1:16" ht="13.5" thickBot="1">
      <c r="A109" s="117"/>
      <c r="B109" s="26" t="s">
        <v>82</v>
      </c>
      <c r="C109" s="27">
        <v>10</v>
      </c>
      <c r="D109" s="13">
        <v>10</v>
      </c>
      <c r="E109" s="24">
        <v>10</v>
      </c>
      <c r="F109" s="29">
        <v>1375.769</v>
      </c>
      <c r="G109" s="27">
        <v>1.2</v>
      </c>
      <c r="H109" s="12">
        <v>2000000000</v>
      </c>
      <c r="I109" s="29">
        <v>3282748408</v>
      </c>
      <c r="J109" s="29">
        <f t="shared" si="16"/>
        <v>2641374204</v>
      </c>
      <c r="K109" s="165" t="s">
        <v>147</v>
      </c>
      <c r="L109" s="29">
        <v>2641</v>
      </c>
      <c r="M109" s="29">
        <v>2050</v>
      </c>
      <c r="N109" s="29">
        <v>2050</v>
      </c>
      <c r="O109" s="29"/>
      <c r="P109" s="29"/>
    </row>
    <row r="110" spans="1:16" s="88" customFormat="1" ht="14.25" thickBot="1" thickTop="1">
      <c r="A110" s="30" t="s">
        <v>124</v>
      </c>
      <c r="B110" s="31" t="s">
        <v>143</v>
      </c>
      <c r="C110" s="34">
        <f>SUM(C106:C109)</f>
        <v>40</v>
      </c>
      <c r="D110" s="34">
        <f>SUM(D106:D109)</f>
        <v>40</v>
      </c>
      <c r="E110" s="35">
        <f>SUM(E106:E109)</f>
        <v>40</v>
      </c>
      <c r="F110" s="36">
        <f>SUM(F106:F109)</f>
        <v>5567.491</v>
      </c>
      <c r="G110" s="34">
        <v>66.42</v>
      </c>
      <c r="H110" s="36">
        <f>SUM(H106:H109)</f>
        <v>8000000000</v>
      </c>
      <c r="I110" s="36">
        <f>SUM(I106:I109)</f>
        <v>13284695481</v>
      </c>
      <c r="J110" s="36">
        <f>SUM(J106:J109)</f>
        <v>10642347740.5</v>
      </c>
      <c r="K110" s="36">
        <f>SUM(K106:K109)</f>
        <v>8846</v>
      </c>
      <c r="L110" s="36">
        <f>SUM((J110/1000000)-K110)</f>
        <v>1796.3477404999994</v>
      </c>
      <c r="M110" s="36">
        <f>SUM(M106:M109)</f>
        <v>3250</v>
      </c>
      <c r="N110" s="36">
        <f>SUM(K110+M110)</f>
        <v>12096</v>
      </c>
      <c r="O110" s="36">
        <f>SUM(O105:O109)</f>
        <v>0</v>
      </c>
      <c r="P110" s="36">
        <f>SUM(P105:P109)</f>
        <v>1200</v>
      </c>
    </row>
    <row r="111" spans="1:16" s="66" customFormat="1" ht="6" customHeight="1" thickTop="1">
      <c r="A111" s="118"/>
      <c r="B111" s="119"/>
      <c r="C111" s="120"/>
      <c r="D111" s="120"/>
      <c r="E111" s="121"/>
      <c r="F111" s="122"/>
      <c r="G111" s="123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1:16" ht="13.5" thickBot="1">
      <c r="A112" s="107"/>
      <c r="B112" s="108"/>
      <c r="C112" s="109"/>
      <c r="D112" s="109"/>
      <c r="E112" s="110"/>
      <c r="F112" s="111"/>
      <c r="G112" s="112"/>
      <c r="H112" s="110"/>
      <c r="I112" s="110"/>
      <c r="J112" s="110"/>
      <c r="K112" s="110"/>
      <c r="L112" s="110"/>
      <c r="M112" s="110"/>
      <c r="N112" s="110"/>
      <c r="O112" s="110"/>
      <c r="P112" s="124"/>
    </row>
    <row r="113" spans="1:16" s="163" customFormat="1" ht="21.75" customHeight="1" thickBot="1" thickTop="1">
      <c r="A113" s="157" t="s">
        <v>161</v>
      </c>
      <c r="B113" s="158" t="s">
        <v>158</v>
      </c>
      <c r="C113" s="159">
        <f aca="true" t="shared" si="18" ref="C113:P113">C103+C110</f>
        <v>100</v>
      </c>
      <c r="D113" s="159">
        <f t="shared" si="18"/>
        <v>100</v>
      </c>
      <c r="E113" s="161">
        <f t="shared" si="18"/>
        <v>100</v>
      </c>
      <c r="F113" s="161">
        <f t="shared" si="18"/>
        <v>8381.812</v>
      </c>
      <c r="G113" s="159">
        <f t="shared" si="18"/>
        <v>100</v>
      </c>
      <c r="H113" s="161">
        <f t="shared" si="18"/>
        <v>20000000000</v>
      </c>
      <c r="I113" s="161">
        <f t="shared" si="18"/>
        <v>20000000000</v>
      </c>
      <c r="J113" s="161">
        <f t="shared" si="18"/>
        <v>20000000000</v>
      </c>
      <c r="K113" s="161">
        <f t="shared" si="18"/>
        <v>13568</v>
      </c>
      <c r="L113" s="161">
        <f t="shared" si="18"/>
        <v>6432</v>
      </c>
      <c r="M113" s="161">
        <f t="shared" si="18"/>
        <v>6850</v>
      </c>
      <c r="N113" s="161">
        <f t="shared" si="18"/>
        <v>20418</v>
      </c>
      <c r="O113" s="161">
        <f t="shared" si="18"/>
        <v>0</v>
      </c>
      <c r="P113" s="161">
        <f t="shared" si="18"/>
        <v>4590</v>
      </c>
    </row>
    <row r="114" spans="1:16" ht="14.25" thickBot="1" thickTop="1">
      <c r="A114" s="116"/>
      <c r="B114" s="134"/>
      <c r="C114" s="135"/>
      <c r="D114" s="135"/>
      <c r="E114" s="136"/>
      <c r="F114" s="137"/>
      <c r="G114" s="138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1:16" s="83" customFormat="1" ht="6" customHeight="1" thickBot="1">
      <c r="A115" s="139"/>
      <c r="B115" s="140"/>
      <c r="C115" s="141"/>
      <c r="D115" s="141"/>
      <c r="E115" s="142"/>
      <c r="F115" s="143"/>
      <c r="G115" s="144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1:16" s="150" customFormat="1" ht="27.75" customHeight="1" thickBot="1">
      <c r="A116" s="219" t="s">
        <v>155</v>
      </c>
      <c r="B116" s="220"/>
      <c r="C116" s="220"/>
      <c r="D116" s="220"/>
      <c r="E116" s="190"/>
      <c r="F116" s="191"/>
      <c r="G116" s="192"/>
      <c r="H116" s="193"/>
      <c r="I116" s="193"/>
      <c r="J116" s="193"/>
      <c r="K116" s="192"/>
      <c r="L116" s="193"/>
      <c r="M116" s="192"/>
      <c r="N116" s="192"/>
      <c r="O116" s="192"/>
      <c r="P116" s="194"/>
    </row>
    <row r="117" spans="1:16" s="66" customFormat="1" ht="5.25" customHeight="1" thickBot="1">
      <c r="A117" s="195"/>
      <c r="B117" s="79"/>
      <c r="C117" s="80"/>
      <c r="D117" s="80"/>
      <c r="E117" s="81"/>
      <c r="F117" s="82"/>
      <c r="G117" s="83"/>
      <c r="H117" s="84"/>
      <c r="I117" s="84"/>
      <c r="J117" s="84"/>
      <c r="K117" s="83"/>
      <c r="L117" s="84"/>
      <c r="M117" s="83"/>
      <c r="N117" s="83"/>
      <c r="O117" s="83"/>
      <c r="P117" s="196"/>
    </row>
    <row r="118" spans="1:16" s="131" customFormat="1" ht="18.75" customHeight="1">
      <c r="A118" s="125"/>
      <c r="B118" s="126"/>
      <c r="C118" s="127"/>
      <c r="D118" s="127"/>
      <c r="E118" s="128"/>
      <c r="F118" s="129"/>
      <c r="G118" s="130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1:16" ht="12.75">
      <c r="A119" s="10" t="s">
        <v>11</v>
      </c>
      <c r="B119" s="11"/>
      <c r="C119" s="13"/>
      <c r="D119" s="13"/>
      <c r="E119" s="12"/>
      <c r="F119" s="14"/>
      <c r="G119" s="15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2.75">
      <c r="A120" s="25"/>
      <c r="B120" s="11" t="s">
        <v>89</v>
      </c>
      <c r="C120" s="13">
        <v>1.55</v>
      </c>
      <c r="D120" s="13">
        <v>1.37</v>
      </c>
      <c r="E120" s="24">
        <v>1.21</v>
      </c>
      <c r="F120" s="12">
        <v>1405.85</v>
      </c>
      <c r="G120" s="13">
        <v>2.84</v>
      </c>
      <c r="H120" s="12">
        <v>4198700000</v>
      </c>
      <c r="I120" s="12">
        <v>9844854577</v>
      </c>
      <c r="J120" s="12">
        <f t="shared" si="16"/>
        <v>7021777288.5</v>
      </c>
      <c r="K120" s="12">
        <v>3500</v>
      </c>
      <c r="L120" s="12">
        <f>SUM((J120/1000000)-K120)</f>
        <v>3521.7772885000004</v>
      </c>
      <c r="M120" s="12">
        <v>2700</v>
      </c>
      <c r="N120" s="12">
        <f aca="true" t="shared" si="19" ref="N120:N177">SUM(K120+M120)</f>
        <v>6200</v>
      </c>
      <c r="O120" s="12">
        <v>150</v>
      </c>
      <c r="P120" s="12">
        <v>2700</v>
      </c>
    </row>
    <row r="121" spans="1:16" ht="12.75">
      <c r="A121" s="116"/>
      <c r="B121" s="11" t="s">
        <v>90</v>
      </c>
      <c r="C121" s="13">
        <v>1.55</v>
      </c>
      <c r="D121" s="13">
        <v>1.37</v>
      </c>
      <c r="E121" s="24">
        <v>1.21</v>
      </c>
      <c r="F121" s="12">
        <v>1236.085</v>
      </c>
      <c r="G121" s="13">
        <v>2.49</v>
      </c>
      <c r="H121" s="12">
        <v>4198700000</v>
      </c>
      <c r="I121" s="12">
        <v>8656028076</v>
      </c>
      <c r="J121" s="12">
        <f t="shared" si="16"/>
        <v>6427364038</v>
      </c>
      <c r="K121" s="12">
        <v>3160</v>
      </c>
      <c r="L121" s="12">
        <f>SUM((J121/1000000)-K121)</f>
        <v>3267.3640379999997</v>
      </c>
      <c r="M121" s="12">
        <v>2500</v>
      </c>
      <c r="N121" s="12">
        <f t="shared" si="19"/>
        <v>5660</v>
      </c>
      <c r="O121" s="12"/>
      <c r="P121" s="12">
        <v>2500</v>
      </c>
    </row>
    <row r="122" spans="1:16" ht="12.75">
      <c r="A122" s="116"/>
      <c r="B122" s="11" t="s">
        <v>91</v>
      </c>
      <c r="C122" s="13">
        <v>1.55</v>
      </c>
      <c r="D122" s="13">
        <v>1.37</v>
      </c>
      <c r="E122" s="24">
        <v>1.21</v>
      </c>
      <c r="F122" s="12">
        <v>616.833</v>
      </c>
      <c r="G122" s="13">
        <v>1.24</v>
      </c>
      <c r="H122" s="12">
        <v>4198700000</v>
      </c>
      <c r="I122" s="12">
        <v>4319544179</v>
      </c>
      <c r="J122" s="12">
        <f t="shared" si="16"/>
        <v>4259122089.5</v>
      </c>
      <c r="K122" s="12">
        <v>3500</v>
      </c>
      <c r="L122" s="12">
        <f>SUM((J122/1000000)-K122)</f>
        <v>759.1220894999997</v>
      </c>
      <c r="M122" s="12">
        <v>600</v>
      </c>
      <c r="N122" s="12">
        <f t="shared" si="19"/>
        <v>4100</v>
      </c>
      <c r="O122" s="12"/>
      <c r="P122" s="12"/>
    </row>
    <row r="123" spans="1:16" ht="13.5" thickBot="1">
      <c r="A123" s="117"/>
      <c r="B123" s="26" t="s">
        <v>92</v>
      </c>
      <c r="C123" s="13">
        <v>1.55</v>
      </c>
      <c r="D123" s="27">
        <v>1.37</v>
      </c>
      <c r="E123" s="28">
        <v>1.21</v>
      </c>
      <c r="F123" s="29">
        <v>1553.762</v>
      </c>
      <c r="G123" s="27">
        <v>3.14</v>
      </c>
      <c r="H123" s="12">
        <v>4198700000</v>
      </c>
      <c r="I123" s="29">
        <v>10880649385</v>
      </c>
      <c r="J123" s="29">
        <f t="shared" si="16"/>
        <v>7539674692.5</v>
      </c>
      <c r="K123" s="29">
        <v>3300</v>
      </c>
      <c r="L123" s="29">
        <f>SUM((J123/1000000)-K123)</f>
        <v>4239.6746925</v>
      </c>
      <c r="M123" s="29">
        <v>3250</v>
      </c>
      <c r="N123" s="29">
        <f t="shared" si="19"/>
        <v>6550</v>
      </c>
      <c r="O123" s="29"/>
      <c r="P123" s="29"/>
    </row>
    <row r="124" spans="1:16" s="88" customFormat="1" ht="14.25" thickBot="1" thickTop="1">
      <c r="A124" s="30" t="s">
        <v>124</v>
      </c>
      <c r="B124" s="31" t="s">
        <v>143</v>
      </c>
      <c r="C124" s="34">
        <f>SUM(C120:C123)</f>
        <v>6.2</v>
      </c>
      <c r="D124" s="34">
        <v>5.46</v>
      </c>
      <c r="E124" s="35">
        <f>SUM(E120:E123)</f>
        <v>4.84</v>
      </c>
      <c r="F124" s="36">
        <f>SUM(F120:F123)</f>
        <v>4812.53</v>
      </c>
      <c r="G124" s="34">
        <f>SUM(G120:G123)</f>
        <v>9.71</v>
      </c>
      <c r="H124" s="36">
        <f>SUM(H120:H123)</f>
        <v>16794800000</v>
      </c>
      <c r="I124" s="36">
        <f>SUM(I120:I123)</f>
        <v>33701076217</v>
      </c>
      <c r="J124" s="36">
        <f>SUM((H124+I124)/2)</f>
        <v>25247938108.5</v>
      </c>
      <c r="K124" s="36">
        <f>SUM(K120:K123)</f>
        <v>13460</v>
      </c>
      <c r="L124" s="36">
        <f>SUM((J124/1000000)-K124)</f>
        <v>11787.938108499999</v>
      </c>
      <c r="M124" s="36">
        <f>SUM(M120:M123)</f>
        <v>9050</v>
      </c>
      <c r="N124" s="36">
        <f>SUM(K124+M124)</f>
        <v>22510</v>
      </c>
      <c r="O124" s="36">
        <f>SUM(O120:O123)</f>
        <v>150</v>
      </c>
      <c r="P124" s="36">
        <f>SUM(P120:P123)</f>
        <v>5200</v>
      </c>
    </row>
    <row r="125" spans="1:16" s="66" customFormat="1" ht="6" customHeight="1" thickTop="1">
      <c r="A125" s="118"/>
      <c r="B125" s="119"/>
      <c r="C125" s="120"/>
      <c r="D125" s="120"/>
      <c r="E125" s="121"/>
      <c r="F125" s="122"/>
      <c r="G125" s="123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1:16" ht="12.75">
      <c r="A126" s="10" t="s">
        <v>12</v>
      </c>
      <c r="B126" s="11"/>
      <c r="C126" s="13"/>
      <c r="D126" s="13"/>
      <c r="E126" s="12"/>
      <c r="F126" s="14"/>
      <c r="G126" s="15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8.75" customHeight="1">
      <c r="A127" s="25"/>
      <c r="B127" s="22" t="s">
        <v>93</v>
      </c>
      <c r="C127" s="13">
        <v>0.64</v>
      </c>
      <c r="D127" s="13">
        <v>0.61</v>
      </c>
      <c r="E127" s="24">
        <v>0.62</v>
      </c>
      <c r="F127" s="12">
        <v>1158</v>
      </c>
      <c r="G127" s="13">
        <v>2.34</v>
      </c>
      <c r="H127" s="12">
        <v>2134050000</v>
      </c>
      <c r="I127" s="12">
        <v>8109216204</v>
      </c>
      <c r="J127" s="12">
        <f t="shared" si="16"/>
        <v>5121633102</v>
      </c>
      <c r="K127" s="12">
        <v>3350</v>
      </c>
      <c r="L127" s="12">
        <f>SUM((J127/1000000)-K127)</f>
        <v>1771.6331019999998</v>
      </c>
      <c r="M127" s="12">
        <v>1350</v>
      </c>
      <c r="N127" s="12">
        <f t="shared" si="19"/>
        <v>4700</v>
      </c>
      <c r="O127" s="12"/>
      <c r="P127" s="12"/>
    </row>
    <row r="128" spans="1:16" ht="13.5" thickBot="1">
      <c r="A128" s="116"/>
      <c r="B128" s="26" t="s">
        <v>94</v>
      </c>
      <c r="C128" s="13">
        <v>0.64</v>
      </c>
      <c r="D128" s="13">
        <v>0.61</v>
      </c>
      <c r="E128" s="28">
        <v>0.62</v>
      </c>
      <c r="F128" s="29">
        <v>690.105</v>
      </c>
      <c r="G128" s="27">
        <v>1.39</v>
      </c>
      <c r="H128" s="12">
        <v>2134050000</v>
      </c>
      <c r="I128" s="29">
        <v>4832651683</v>
      </c>
      <c r="J128" s="29">
        <f t="shared" si="16"/>
        <v>3483350841.5</v>
      </c>
      <c r="K128" s="29">
        <v>3000</v>
      </c>
      <c r="L128" s="29">
        <f>SUM((J128/1000000)-K128)</f>
        <v>483.3508415000001</v>
      </c>
      <c r="M128" s="29">
        <v>350</v>
      </c>
      <c r="N128" s="29">
        <f t="shared" si="19"/>
        <v>3350</v>
      </c>
      <c r="O128" s="29"/>
      <c r="P128" s="29"/>
    </row>
    <row r="129" spans="1:16" s="88" customFormat="1" ht="14.25" thickBot="1" thickTop="1">
      <c r="A129" s="30" t="s">
        <v>124</v>
      </c>
      <c r="B129" s="31" t="s">
        <v>136</v>
      </c>
      <c r="C129" s="34">
        <f>SUM(C127:C128)</f>
        <v>1.28</v>
      </c>
      <c r="D129" s="34">
        <f>SUM(D127:D128)</f>
        <v>1.22</v>
      </c>
      <c r="E129" s="35">
        <v>1.23</v>
      </c>
      <c r="F129" s="36">
        <f>SUM(F127:F128)</f>
        <v>1848.105</v>
      </c>
      <c r="G129" s="34">
        <f>SUM(G127:G128)</f>
        <v>3.7299999999999995</v>
      </c>
      <c r="H129" s="36">
        <f>SUM(H127:H128)</f>
        <v>4268100000</v>
      </c>
      <c r="I129" s="36">
        <f>SUM(I127:I128)</f>
        <v>12941867887</v>
      </c>
      <c r="J129" s="36">
        <f>SUM((H129+I129)/2)</f>
        <v>8604983943.5</v>
      </c>
      <c r="K129" s="36">
        <f>SUM(K127:K128)</f>
        <v>6350</v>
      </c>
      <c r="L129" s="36">
        <f>SUM((J129/1000000)-K129)</f>
        <v>2254.9839434999994</v>
      </c>
      <c r="M129" s="36">
        <f>SUM(M127:M128)</f>
        <v>1700</v>
      </c>
      <c r="N129" s="36">
        <f>SUM(K129+M129)</f>
        <v>8050</v>
      </c>
      <c r="O129" s="36">
        <f>SUM(O127:O128)</f>
        <v>0</v>
      </c>
      <c r="P129" s="36">
        <f>SUM(P127:P128)</f>
        <v>0</v>
      </c>
    </row>
    <row r="130" spans="1:16" s="97" customFormat="1" ht="6" customHeight="1" thickTop="1">
      <c r="A130" s="90"/>
      <c r="B130" s="91"/>
      <c r="C130" s="92"/>
      <c r="D130" s="92"/>
      <c r="E130" s="93"/>
      <c r="F130" s="94"/>
      <c r="G130" s="95"/>
      <c r="H130" s="93"/>
      <c r="I130" s="93"/>
      <c r="J130" s="93"/>
      <c r="K130" s="93"/>
      <c r="L130" s="93"/>
      <c r="M130" s="93"/>
      <c r="N130" s="93"/>
      <c r="O130" s="93"/>
      <c r="P130" s="89"/>
    </row>
    <row r="131" spans="1:16" ht="12.75">
      <c r="A131" s="10" t="s">
        <v>13</v>
      </c>
      <c r="B131" s="11"/>
      <c r="C131" s="13"/>
      <c r="D131" s="13"/>
      <c r="E131" s="12"/>
      <c r="F131" s="14"/>
      <c r="G131" s="15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2.75">
      <c r="A132" s="25"/>
      <c r="B132" s="11" t="s">
        <v>95</v>
      </c>
      <c r="C132" s="13">
        <v>5.56</v>
      </c>
      <c r="D132" s="13">
        <v>5.6</v>
      </c>
      <c r="E132" s="24">
        <v>5.64</v>
      </c>
      <c r="F132" s="12">
        <v>951.19</v>
      </c>
      <c r="G132" s="13">
        <v>1.92</v>
      </c>
      <c r="H132" s="12">
        <v>19577740000</v>
      </c>
      <c r="I132" s="12">
        <v>6660971814</v>
      </c>
      <c r="J132" s="12">
        <f t="shared" si="16"/>
        <v>13119355907</v>
      </c>
      <c r="K132" s="12">
        <v>3414</v>
      </c>
      <c r="L132" s="12">
        <f aca="true" t="shared" si="20" ref="L132:L137">SUM((J132/1000000)-K132)</f>
        <v>9705.355907</v>
      </c>
      <c r="M132" s="12">
        <v>7450</v>
      </c>
      <c r="N132" s="12">
        <f t="shared" si="19"/>
        <v>10864</v>
      </c>
      <c r="O132" s="12"/>
      <c r="P132" s="12"/>
    </row>
    <row r="133" spans="1:16" ht="12.75">
      <c r="A133" s="116"/>
      <c r="B133" s="11" t="s">
        <v>96</v>
      </c>
      <c r="C133" s="13">
        <v>5.56</v>
      </c>
      <c r="D133" s="13">
        <v>5.6</v>
      </c>
      <c r="E133" s="24">
        <v>5.64</v>
      </c>
      <c r="F133" s="12">
        <v>1086</v>
      </c>
      <c r="G133" s="13">
        <v>2.19</v>
      </c>
      <c r="H133" s="12">
        <v>19577740000</v>
      </c>
      <c r="I133" s="12">
        <v>7605016233</v>
      </c>
      <c r="J133" s="12">
        <f t="shared" si="16"/>
        <v>13591378116.5</v>
      </c>
      <c r="K133" s="12">
        <v>3345</v>
      </c>
      <c r="L133" s="12">
        <f t="shared" si="20"/>
        <v>10246.3781165</v>
      </c>
      <c r="M133" s="12">
        <v>7900</v>
      </c>
      <c r="N133" s="12">
        <f t="shared" si="19"/>
        <v>11245</v>
      </c>
      <c r="O133" s="12"/>
      <c r="P133" s="12">
        <v>7020</v>
      </c>
    </row>
    <row r="134" spans="1:16" ht="12.75">
      <c r="A134" s="116"/>
      <c r="B134" s="11" t="s">
        <v>97</v>
      </c>
      <c r="C134" s="13">
        <v>5.56</v>
      </c>
      <c r="D134" s="13">
        <v>5.6</v>
      </c>
      <c r="E134" s="24">
        <v>5.64</v>
      </c>
      <c r="F134" s="12">
        <v>1458.533</v>
      </c>
      <c r="G134" s="13">
        <v>2.94</v>
      </c>
      <c r="H134" s="12">
        <v>19577740000</v>
      </c>
      <c r="I134" s="12">
        <v>10213781898</v>
      </c>
      <c r="J134" s="12">
        <f t="shared" si="16"/>
        <v>14895760949</v>
      </c>
      <c r="K134" s="12">
        <v>3050</v>
      </c>
      <c r="L134" s="12">
        <f t="shared" si="20"/>
        <v>11845.760949</v>
      </c>
      <c r="M134" s="12">
        <v>9100</v>
      </c>
      <c r="N134" s="12">
        <f t="shared" si="19"/>
        <v>12150</v>
      </c>
      <c r="O134" s="12"/>
      <c r="P134" s="23">
        <v>1915.6</v>
      </c>
    </row>
    <row r="135" spans="1:16" ht="12.75">
      <c r="A135" s="116"/>
      <c r="B135" s="11" t="s">
        <v>98</v>
      </c>
      <c r="C135" s="13">
        <v>5.56</v>
      </c>
      <c r="D135" s="13">
        <v>5.6</v>
      </c>
      <c r="E135" s="24">
        <v>5.64</v>
      </c>
      <c r="F135" s="12">
        <v>1294.17</v>
      </c>
      <c r="G135" s="13">
        <v>2.61</v>
      </c>
      <c r="H135" s="12">
        <v>19577740000</v>
      </c>
      <c r="I135" s="12">
        <v>9062784400</v>
      </c>
      <c r="J135" s="12">
        <f t="shared" si="16"/>
        <v>14320262200</v>
      </c>
      <c r="K135" s="12">
        <v>3390</v>
      </c>
      <c r="L135" s="12">
        <f t="shared" si="20"/>
        <v>10930.2622</v>
      </c>
      <c r="M135" s="12">
        <v>8400</v>
      </c>
      <c r="N135" s="12">
        <f t="shared" si="19"/>
        <v>11790</v>
      </c>
      <c r="O135" s="12"/>
      <c r="P135" s="12"/>
    </row>
    <row r="136" spans="1:16" ht="13.5" thickBot="1">
      <c r="A136" s="116"/>
      <c r="B136" s="26" t="s">
        <v>99</v>
      </c>
      <c r="C136" s="13">
        <v>5.56</v>
      </c>
      <c r="D136" s="13">
        <v>5.6</v>
      </c>
      <c r="E136" s="24">
        <v>5.64</v>
      </c>
      <c r="F136" s="29">
        <v>2178.334</v>
      </c>
      <c r="G136" s="27">
        <v>4.4</v>
      </c>
      <c r="H136" s="12">
        <v>19577740000</v>
      </c>
      <c r="I136" s="29">
        <v>15254388057</v>
      </c>
      <c r="J136" s="29">
        <f t="shared" si="16"/>
        <v>17416064028.5</v>
      </c>
      <c r="K136" s="29">
        <v>3100</v>
      </c>
      <c r="L136" s="29">
        <f t="shared" si="20"/>
        <v>14316.0640285</v>
      </c>
      <c r="M136" s="29">
        <v>11000</v>
      </c>
      <c r="N136" s="29">
        <f t="shared" si="19"/>
        <v>14100</v>
      </c>
      <c r="O136" s="29"/>
      <c r="P136" s="29"/>
    </row>
    <row r="137" spans="1:16" s="88" customFormat="1" ht="14.25" thickBot="1" thickTop="1">
      <c r="A137" s="30" t="s">
        <v>124</v>
      </c>
      <c r="B137" s="31" t="s">
        <v>153</v>
      </c>
      <c r="C137" s="34">
        <f>SUM(C132:C136)</f>
        <v>27.799999999999997</v>
      </c>
      <c r="D137" s="34">
        <f>SUM(D132:D136)</f>
        <v>28</v>
      </c>
      <c r="E137" s="35">
        <v>28.21</v>
      </c>
      <c r="F137" s="36">
        <f>SUM(F132:F136)</f>
        <v>6968.227</v>
      </c>
      <c r="G137" s="34">
        <f>SUM(G132:G136)</f>
        <v>14.059999999999999</v>
      </c>
      <c r="H137" s="36">
        <f>SUM(H132:H136)</f>
        <v>97888700000</v>
      </c>
      <c r="I137" s="36">
        <f>SUM(I132:I136)</f>
        <v>48796942402</v>
      </c>
      <c r="J137" s="36">
        <f>SUM((H137+I137)/2)</f>
        <v>73342821201</v>
      </c>
      <c r="K137" s="36">
        <f>SUM(K132:K136)</f>
        <v>16299</v>
      </c>
      <c r="L137" s="36">
        <f t="shared" si="20"/>
        <v>57043.821201</v>
      </c>
      <c r="M137" s="36">
        <f>SUM(M132:M136)</f>
        <v>43850</v>
      </c>
      <c r="N137" s="36">
        <f>SUM(K137+M137)</f>
        <v>60149</v>
      </c>
      <c r="O137" s="36">
        <f>SUM(O132:O136)</f>
        <v>0</v>
      </c>
      <c r="P137" s="181">
        <f>SUM(P132:P136)</f>
        <v>8935.6</v>
      </c>
    </row>
    <row r="138" spans="1:16" s="97" customFormat="1" ht="6" customHeight="1" thickTop="1">
      <c r="A138" s="90"/>
      <c r="B138" s="91"/>
      <c r="C138" s="92"/>
      <c r="D138" s="92"/>
      <c r="E138" s="93"/>
      <c r="F138" s="94"/>
      <c r="G138" s="95"/>
      <c r="H138" s="93"/>
      <c r="I138" s="93"/>
      <c r="J138" s="93"/>
      <c r="K138" s="93"/>
      <c r="L138" s="93"/>
      <c r="M138" s="93"/>
      <c r="N138" s="93"/>
      <c r="O138" s="93"/>
      <c r="P138" s="89"/>
    </row>
    <row r="139" spans="1:16" ht="12.75">
      <c r="A139" s="10" t="s">
        <v>14</v>
      </c>
      <c r="B139" s="11"/>
      <c r="C139" s="13"/>
      <c r="D139" s="13"/>
      <c r="E139" s="12"/>
      <c r="F139" s="14"/>
      <c r="G139" s="15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2.75">
      <c r="A140" s="25"/>
      <c r="B140" s="11" t="s">
        <v>100</v>
      </c>
      <c r="C140" s="13">
        <v>3.91</v>
      </c>
      <c r="D140" s="13">
        <v>3.91</v>
      </c>
      <c r="E140" s="24">
        <v>3.89</v>
      </c>
      <c r="F140" s="12">
        <v>1839.847</v>
      </c>
      <c r="G140" s="13">
        <v>3.71</v>
      </c>
      <c r="H140" s="12">
        <v>13498300000</v>
      </c>
      <c r="I140" s="12">
        <v>12884038951</v>
      </c>
      <c r="J140" s="12">
        <f t="shared" si="16"/>
        <v>13191169475.5</v>
      </c>
      <c r="K140" s="12">
        <v>3416</v>
      </c>
      <c r="L140" s="12">
        <f aca="true" t="shared" si="21" ref="L140:L145">SUM((J140/1000000)-K140)</f>
        <v>9775.1694755</v>
      </c>
      <c r="M140" s="12">
        <v>7500</v>
      </c>
      <c r="N140" s="12">
        <f t="shared" si="19"/>
        <v>10916</v>
      </c>
      <c r="O140" s="12"/>
      <c r="P140" s="12">
        <v>7500</v>
      </c>
    </row>
    <row r="141" spans="1:16" ht="12.75">
      <c r="A141" s="116"/>
      <c r="B141" s="11" t="s">
        <v>101</v>
      </c>
      <c r="C141" s="13">
        <v>3.91</v>
      </c>
      <c r="D141" s="13">
        <v>3.91</v>
      </c>
      <c r="E141" s="24">
        <v>3.89</v>
      </c>
      <c r="F141" s="12">
        <v>847.5</v>
      </c>
      <c r="G141" s="13">
        <v>1.71</v>
      </c>
      <c r="H141" s="12">
        <v>13498300000</v>
      </c>
      <c r="I141" s="12">
        <v>5934853828</v>
      </c>
      <c r="J141" s="12">
        <f t="shared" si="16"/>
        <v>9716576914</v>
      </c>
      <c r="K141" s="12">
        <v>3100</v>
      </c>
      <c r="L141" s="12">
        <f t="shared" si="21"/>
        <v>6616.576913999999</v>
      </c>
      <c r="M141" s="12">
        <v>5100</v>
      </c>
      <c r="N141" s="12">
        <f t="shared" si="19"/>
        <v>8200</v>
      </c>
      <c r="O141" s="12"/>
      <c r="P141" s="12">
        <v>3000</v>
      </c>
    </row>
    <row r="142" spans="1:16" ht="12.75">
      <c r="A142" s="116"/>
      <c r="B142" s="11" t="s">
        <v>102</v>
      </c>
      <c r="C142" s="13">
        <v>3.91</v>
      </c>
      <c r="D142" s="13">
        <v>3.91</v>
      </c>
      <c r="E142" s="24">
        <v>3.89</v>
      </c>
      <c r="F142" s="12">
        <v>2242</v>
      </c>
      <c r="G142" s="13">
        <v>4.52</v>
      </c>
      <c r="H142" s="12">
        <v>13498300000</v>
      </c>
      <c r="I142" s="12">
        <v>15700226882</v>
      </c>
      <c r="J142" s="12">
        <f t="shared" si="16"/>
        <v>14599263441</v>
      </c>
      <c r="K142" s="12">
        <v>3000</v>
      </c>
      <c r="L142" s="12">
        <f t="shared" si="21"/>
        <v>11599.263441</v>
      </c>
      <c r="M142" s="12">
        <v>8950</v>
      </c>
      <c r="N142" s="12">
        <f t="shared" si="19"/>
        <v>11950</v>
      </c>
      <c r="O142" s="12"/>
      <c r="P142" s="12">
        <v>6553</v>
      </c>
    </row>
    <row r="143" spans="1:16" ht="12.75">
      <c r="A143" s="116"/>
      <c r="B143" s="11" t="s">
        <v>103</v>
      </c>
      <c r="C143" s="13">
        <v>3.91</v>
      </c>
      <c r="D143" s="13">
        <v>3.91</v>
      </c>
      <c r="E143" s="24">
        <v>3.89</v>
      </c>
      <c r="F143" s="12">
        <v>1896.112</v>
      </c>
      <c r="G143" s="13">
        <v>3.83</v>
      </c>
      <c r="H143" s="12">
        <v>13498300000</v>
      </c>
      <c r="I143" s="12">
        <v>13278050220</v>
      </c>
      <c r="J143" s="12">
        <f t="shared" si="16"/>
        <v>13388175110</v>
      </c>
      <c r="K143" s="12">
        <v>3000</v>
      </c>
      <c r="L143" s="12">
        <f t="shared" si="21"/>
        <v>10388.17511</v>
      </c>
      <c r="M143" s="12">
        <v>8000</v>
      </c>
      <c r="N143" s="12">
        <f t="shared" si="19"/>
        <v>11000</v>
      </c>
      <c r="O143" s="12">
        <v>1346</v>
      </c>
      <c r="P143" s="12">
        <v>8000</v>
      </c>
    </row>
    <row r="144" spans="1:16" ht="13.5" thickBot="1">
      <c r="A144" s="117"/>
      <c r="B144" s="26" t="s">
        <v>104</v>
      </c>
      <c r="C144" s="13">
        <v>3.91</v>
      </c>
      <c r="D144" s="13">
        <v>3.91</v>
      </c>
      <c r="E144" s="24">
        <v>3.89</v>
      </c>
      <c r="F144" s="29">
        <v>1190</v>
      </c>
      <c r="G144" s="27">
        <v>2.4</v>
      </c>
      <c r="H144" s="12">
        <v>13498300000</v>
      </c>
      <c r="I144" s="29">
        <v>8333305080</v>
      </c>
      <c r="J144" s="29">
        <f t="shared" si="16"/>
        <v>10915802540</v>
      </c>
      <c r="K144" s="29">
        <v>4580</v>
      </c>
      <c r="L144" s="29">
        <f t="shared" si="21"/>
        <v>6335.802540000001</v>
      </c>
      <c r="M144" s="29">
        <v>4850</v>
      </c>
      <c r="N144" s="29">
        <f t="shared" si="19"/>
        <v>9430</v>
      </c>
      <c r="O144" s="29"/>
      <c r="P144" s="179">
        <v>4823.5</v>
      </c>
    </row>
    <row r="145" spans="1:16" s="88" customFormat="1" ht="14.25" thickBot="1" thickTop="1">
      <c r="A145" s="30" t="s">
        <v>124</v>
      </c>
      <c r="B145" s="31" t="s">
        <v>153</v>
      </c>
      <c r="C145" s="34">
        <f>SUM(C140:C144)</f>
        <v>19.55</v>
      </c>
      <c r="D145" s="34">
        <f>SUM(D140:D144)</f>
        <v>19.55</v>
      </c>
      <c r="E145" s="35">
        <f>SUM(E140:E144)</f>
        <v>19.45</v>
      </c>
      <c r="F145" s="36">
        <f>SUM(F140:F144)</f>
        <v>8015.459</v>
      </c>
      <c r="G145" s="34">
        <v>16.18</v>
      </c>
      <c r="H145" s="36">
        <f>SUM(H140:H144)</f>
        <v>67491500000</v>
      </c>
      <c r="I145" s="36">
        <f>SUM(I140:I144)</f>
        <v>56130474961</v>
      </c>
      <c r="J145" s="36">
        <f>SUM((H145+I145)/2)</f>
        <v>61810987480.5</v>
      </c>
      <c r="K145" s="36">
        <f>SUM(K140:K144)</f>
        <v>17096</v>
      </c>
      <c r="L145" s="36">
        <f t="shared" si="21"/>
        <v>44714.9874805</v>
      </c>
      <c r="M145" s="36">
        <f>SUM(M140:M144)</f>
        <v>34400</v>
      </c>
      <c r="N145" s="36">
        <f>SUM(K145+M145)</f>
        <v>51496</v>
      </c>
      <c r="O145" s="36">
        <f>SUM(O140:O144)</f>
        <v>1346</v>
      </c>
      <c r="P145" s="181">
        <f>SUM(P140:P144)</f>
        <v>29876.5</v>
      </c>
    </row>
    <row r="146" spans="1:16" s="97" customFormat="1" ht="6" customHeight="1" thickTop="1">
      <c r="A146" s="90"/>
      <c r="B146" s="91"/>
      <c r="C146" s="92"/>
      <c r="D146" s="92"/>
      <c r="E146" s="93"/>
      <c r="F146" s="94"/>
      <c r="G146" s="95"/>
      <c r="H146" s="93"/>
      <c r="I146" s="93"/>
      <c r="J146" s="93"/>
      <c r="K146" s="93"/>
      <c r="L146" s="93"/>
      <c r="M146" s="93"/>
      <c r="N146" s="93"/>
      <c r="O146" s="93"/>
      <c r="P146" s="89"/>
    </row>
    <row r="147" spans="1:16" ht="12.75">
      <c r="A147" s="10" t="s">
        <v>15</v>
      </c>
      <c r="B147" s="11"/>
      <c r="C147" s="13"/>
      <c r="D147" s="13"/>
      <c r="E147" s="12"/>
      <c r="F147" s="14"/>
      <c r="G147" s="15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2.75">
      <c r="A148" s="25"/>
      <c r="B148" s="11" t="s">
        <v>105</v>
      </c>
      <c r="C148" s="13">
        <v>1.46</v>
      </c>
      <c r="D148" s="13">
        <v>1.41</v>
      </c>
      <c r="E148" s="24">
        <v>1.48</v>
      </c>
      <c r="F148" s="12">
        <v>1057</v>
      </c>
      <c r="G148" s="13">
        <v>2.13</v>
      </c>
      <c r="H148" s="12">
        <v>5135600000</v>
      </c>
      <c r="I148" s="12">
        <v>7401935689</v>
      </c>
      <c r="J148" s="12">
        <f t="shared" si="16"/>
        <v>6268767844.5</v>
      </c>
      <c r="K148" s="12">
        <v>2897</v>
      </c>
      <c r="L148" s="12">
        <f>SUM((J148/1000000)-K148)</f>
        <v>3371.7678445</v>
      </c>
      <c r="M148" s="12">
        <v>2600</v>
      </c>
      <c r="N148" s="12">
        <f t="shared" si="19"/>
        <v>5497</v>
      </c>
      <c r="O148" s="12"/>
      <c r="P148" s="12"/>
    </row>
    <row r="149" spans="1:16" ht="13.5" thickBot="1">
      <c r="A149" s="116"/>
      <c r="B149" s="26" t="s">
        <v>106</v>
      </c>
      <c r="C149" s="27">
        <v>1.46</v>
      </c>
      <c r="D149" s="27">
        <v>1.41</v>
      </c>
      <c r="E149" s="28">
        <v>1.48</v>
      </c>
      <c r="F149" s="29">
        <v>1808</v>
      </c>
      <c r="G149" s="27">
        <v>3.65</v>
      </c>
      <c r="H149" s="12">
        <v>5135600000</v>
      </c>
      <c r="I149" s="29">
        <v>12661021500</v>
      </c>
      <c r="J149" s="29">
        <f t="shared" si="16"/>
        <v>8898310750</v>
      </c>
      <c r="K149" s="29">
        <v>3500</v>
      </c>
      <c r="L149" s="29">
        <f>SUM((J149/1000000)-K149)</f>
        <v>5398.310750000001</v>
      </c>
      <c r="M149" s="29">
        <v>4150</v>
      </c>
      <c r="N149" s="29">
        <f t="shared" si="19"/>
        <v>7650</v>
      </c>
      <c r="O149" s="29"/>
      <c r="P149" s="29"/>
    </row>
    <row r="150" spans="1:16" s="88" customFormat="1" ht="14.25" thickBot="1" thickTop="1">
      <c r="A150" s="30" t="s">
        <v>124</v>
      </c>
      <c r="B150" s="31" t="s">
        <v>136</v>
      </c>
      <c r="C150" s="34">
        <f aca="true" t="shared" si="22" ref="C150:I150">SUM(C148:C149)</f>
        <v>2.92</v>
      </c>
      <c r="D150" s="34">
        <f t="shared" si="22"/>
        <v>2.82</v>
      </c>
      <c r="E150" s="35">
        <f t="shared" si="22"/>
        <v>2.96</v>
      </c>
      <c r="F150" s="36">
        <f t="shared" si="22"/>
        <v>2865</v>
      </c>
      <c r="G150" s="34">
        <f t="shared" si="22"/>
        <v>5.779999999999999</v>
      </c>
      <c r="H150" s="36">
        <f t="shared" si="22"/>
        <v>10271200000</v>
      </c>
      <c r="I150" s="36">
        <f t="shared" si="22"/>
        <v>20062957189</v>
      </c>
      <c r="J150" s="36">
        <f>SUM((H150+I150)/2)-1</f>
        <v>15167078593.5</v>
      </c>
      <c r="K150" s="36">
        <f>SUM(K148:K149)</f>
        <v>6397</v>
      </c>
      <c r="L150" s="36">
        <f>SUM((J150/1000000)-K150)</f>
        <v>8770.0785935</v>
      </c>
      <c r="M150" s="36">
        <f>SUM(M148:M149)</f>
        <v>6750</v>
      </c>
      <c r="N150" s="36">
        <f>SUM(K150+M150)</f>
        <v>13147</v>
      </c>
      <c r="O150" s="36">
        <f>SUM(O148:O149)</f>
        <v>0</v>
      </c>
      <c r="P150" s="36">
        <f>SUM(P148:P149)</f>
        <v>0</v>
      </c>
    </row>
    <row r="151" spans="1:16" s="44" customFormat="1" ht="6" customHeight="1" thickTop="1">
      <c r="A151" s="38"/>
      <c r="B151" s="45"/>
      <c r="C151" s="40"/>
      <c r="D151" s="40"/>
      <c r="E151" s="42"/>
      <c r="F151" s="46"/>
      <c r="G151" s="47"/>
      <c r="H151" s="42"/>
      <c r="I151" s="42"/>
      <c r="J151" s="42"/>
      <c r="K151" s="42"/>
      <c r="L151" s="42"/>
      <c r="M151" s="42"/>
      <c r="N151" s="42"/>
      <c r="O151" s="42"/>
      <c r="P151" s="185"/>
    </row>
    <row r="152" spans="1:16" ht="12.75">
      <c r="A152" s="10" t="s">
        <v>16</v>
      </c>
      <c r="B152" s="11"/>
      <c r="C152" s="13"/>
      <c r="D152" s="13"/>
      <c r="E152" s="12"/>
      <c r="F152" s="14"/>
      <c r="G152" s="15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2.75">
      <c r="A153" s="25"/>
      <c r="B153" s="11" t="s">
        <v>107</v>
      </c>
      <c r="C153" s="13">
        <v>1.98</v>
      </c>
      <c r="D153" s="13">
        <v>2.05</v>
      </c>
      <c r="E153" s="24">
        <v>2.13</v>
      </c>
      <c r="F153" s="12">
        <v>550</v>
      </c>
      <c r="G153" s="13">
        <v>1.11</v>
      </c>
      <c r="H153" s="12">
        <v>7384160000</v>
      </c>
      <c r="I153" s="12">
        <v>3851527558</v>
      </c>
      <c r="J153" s="12">
        <f t="shared" si="16"/>
        <v>5617843779</v>
      </c>
      <c r="K153" s="12">
        <v>3300</v>
      </c>
      <c r="L153" s="12">
        <f aca="true" t="shared" si="23" ref="L153:L158">SUM((J153/1000000)-K153)</f>
        <v>2317.843779</v>
      </c>
      <c r="M153" s="12">
        <v>1800</v>
      </c>
      <c r="N153" s="12">
        <f t="shared" si="19"/>
        <v>5100</v>
      </c>
      <c r="O153" s="12">
        <v>1200</v>
      </c>
      <c r="P153" s="12">
        <v>1800</v>
      </c>
    </row>
    <row r="154" spans="1:16" ht="12.75">
      <c r="A154" s="116"/>
      <c r="B154" s="22" t="s">
        <v>109</v>
      </c>
      <c r="C154" s="13">
        <v>1.98</v>
      </c>
      <c r="D154" s="13">
        <v>2.05</v>
      </c>
      <c r="E154" s="24">
        <v>2.13</v>
      </c>
      <c r="F154" s="12">
        <v>721.833</v>
      </c>
      <c r="G154" s="13">
        <v>1.46</v>
      </c>
      <c r="H154" s="12">
        <v>7384160000</v>
      </c>
      <c r="I154" s="12">
        <v>5054835803</v>
      </c>
      <c r="J154" s="12">
        <f t="shared" si="16"/>
        <v>6219497901.5</v>
      </c>
      <c r="K154" s="12">
        <v>3300</v>
      </c>
      <c r="L154" s="12">
        <f t="shared" si="23"/>
        <v>2919.4979015</v>
      </c>
      <c r="M154" s="12">
        <v>2250</v>
      </c>
      <c r="N154" s="12">
        <f t="shared" si="19"/>
        <v>5550</v>
      </c>
      <c r="O154" s="12"/>
      <c r="P154" s="12"/>
    </row>
    <row r="155" spans="1:16" ht="12.75">
      <c r="A155" s="116"/>
      <c r="B155" s="11" t="s">
        <v>108</v>
      </c>
      <c r="C155" s="13">
        <v>1.98</v>
      </c>
      <c r="D155" s="13">
        <v>2.05</v>
      </c>
      <c r="E155" s="24">
        <v>2.13</v>
      </c>
      <c r="F155" s="12">
        <v>1279.754</v>
      </c>
      <c r="G155" s="13">
        <v>2.58</v>
      </c>
      <c r="H155" s="12">
        <v>7384160000</v>
      </c>
      <c r="I155" s="12">
        <v>8961832361</v>
      </c>
      <c r="J155" s="12">
        <f t="shared" si="16"/>
        <v>8172996180.5</v>
      </c>
      <c r="K155" s="12">
        <v>2956</v>
      </c>
      <c r="L155" s="12">
        <f t="shared" si="23"/>
        <v>5216.9961805</v>
      </c>
      <c r="M155" s="12">
        <v>4000</v>
      </c>
      <c r="N155" s="12">
        <f t="shared" si="19"/>
        <v>6956</v>
      </c>
      <c r="O155" s="12">
        <v>14</v>
      </c>
      <c r="P155" s="12">
        <v>4000</v>
      </c>
    </row>
    <row r="156" spans="1:16" ht="12.75">
      <c r="A156" s="116"/>
      <c r="B156" s="11" t="s">
        <v>110</v>
      </c>
      <c r="C156" s="13">
        <v>1.98</v>
      </c>
      <c r="D156" s="13">
        <v>2.05</v>
      </c>
      <c r="E156" s="24">
        <v>2.13</v>
      </c>
      <c r="F156" s="12">
        <v>2130.238</v>
      </c>
      <c r="G156" s="13">
        <v>4.3</v>
      </c>
      <c r="H156" s="12">
        <v>7384160000</v>
      </c>
      <c r="I156" s="12">
        <v>14917582477</v>
      </c>
      <c r="J156" s="12">
        <f t="shared" si="16"/>
        <v>11150871238.5</v>
      </c>
      <c r="K156" s="12">
        <v>3000</v>
      </c>
      <c r="L156" s="12">
        <f t="shared" si="23"/>
        <v>8150.8712385</v>
      </c>
      <c r="M156" s="12">
        <v>6300</v>
      </c>
      <c r="N156" s="12">
        <f t="shared" si="19"/>
        <v>9300</v>
      </c>
      <c r="O156" s="12"/>
      <c r="P156" s="12"/>
    </row>
    <row r="157" spans="1:16" ht="13.5" thickBot="1">
      <c r="A157" s="116"/>
      <c r="B157" s="86" t="s">
        <v>111</v>
      </c>
      <c r="C157" s="13">
        <v>1.98</v>
      </c>
      <c r="D157" s="13">
        <v>2.05</v>
      </c>
      <c r="E157" s="24">
        <v>2.13</v>
      </c>
      <c r="F157" s="29">
        <v>1522</v>
      </c>
      <c r="G157" s="27">
        <v>3.07</v>
      </c>
      <c r="H157" s="12">
        <v>7384160000</v>
      </c>
      <c r="I157" s="29">
        <v>10658227170</v>
      </c>
      <c r="J157" s="29">
        <f t="shared" si="16"/>
        <v>9021193585</v>
      </c>
      <c r="K157" s="29">
        <v>3228</v>
      </c>
      <c r="L157" s="29">
        <f t="shared" si="23"/>
        <v>5793.193585000001</v>
      </c>
      <c r="M157" s="29">
        <v>4450</v>
      </c>
      <c r="N157" s="29">
        <f t="shared" si="19"/>
        <v>7678</v>
      </c>
      <c r="O157" s="29"/>
      <c r="P157" s="29">
        <v>3378</v>
      </c>
    </row>
    <row r="158" spans="1:16" s="88" customFormat="1" ht="14.25" thickBot="1" thickTop="1">
      <c r="A158" s="30" t="s">
        <v>124</v>
      </c>
      <c r="B158" s="31" t="s">
        <v>153</v>
      </c>
      <c r="C158" s="34">
        <f>SUM(C153:C157)</f>
        <v>9.9</v>
      </c>
      <c r="D158" s="34">
        <f>SUM(D153:D157)</f>
        <v>10.25</v>
      </c>
      <c r="E158" s="35">
        <v>10.64</v>
      </c>
      <c r="F158" s="36">
        <f>SUM(F153:F157)</f>
        <v>6203.825</v>
      </c>
      <c r="G158" s="34">
        <f>SUM(G153:G157)</f>
        <v>12.52</v>
      </c>
      <c r="H158" s="36">
        <f>SUM(H153:H157)</f>
        <v>36920800000</v>
      </c>
      <c r="I158" s="36">
        <f>SUM(I153:I157)</f>
        <v>43444005369</v>
      </c>
      <c r="J158" s="36">
        <f>SUM((H158+I158)/2)-1</f>
        <v>40182402683.5</v>
      </c>
      <c r="K158" s="36">
        <f>SUM(K153:K157)</f>
        <v>15784</v>
      </c>
      <c r="L158" s="36">
        <f t="shared" si="23"/>
        <v>24398.402683499997</v>
      </c>
      <c r="M158" s="36">
        <f>SUM(M153:M157)</f>
        <v>18800</v>
      </c>
      <c r="N158" s="36">
        <f>SUM(N153:N157)</f>
        <v>34584</v>
      </c>
      <c r="O158" s="36">
        <f>SUM(O153:O157)</f>
        <v>1214</v>
      </c>
      <c r="P158" s="36">
        <f>SUM(P153:P157)</f>
        <v>9178</v>
      </c>
    </row>
    <row r="159" spans="1:16" s="97" customFormat="1" ht="6" customHeight="1" thickTop="1">
      <c r="A159" s="90"/>
      <c r="B159" s="132"/>
      <c r="C159" s="92"/>
      <c r="D159" s="92"/>
      <c r="E159" s="93"/>
      <c r="F159" s="94"/>
      <c r="G159" s="95"/>
      <c r="H159" s="93"/>
      <c r="I159" s="93"/>
      <c r="J159" s="93"/>
      <c r="K159" s="93"/>
      <c r="L159" s="93"/>
      <c r="M159" s="93"/>
      <c r="N159" s="93"/>
      <c r="O159" s="93"/>
      <c r="P159" s="89"/>
    </row>
    <row r="160" spans="1:16" ht="12.75">
      <c r="A160" s="10" t="s">
        <v>17</v>
      </c>
      <c r="B160" s="11"/>
      <c r="C160" s="13"/>
      <c r="D160" s="13"/>
      <c r="E160" s="12"/>
      <c r="F160" s="14"/>
      <c r="G160" s="15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2.75">
      <c r="A161" s="25"/>
      <c r="B161" s="11" t="s">
        <v>112</v>
      </c>
      <c r="C161" s="13">
        <v>2.71</v>
      </c>
      <c r="D161" s="13">
        <v>2.74</v>
      </c>
      <c r="E161" s="24">
        <v>2.75</v>
      </c>
      <c r="F161" s="12">
        <v>1279.802</v>
      </c>
      <c r="G161" s="15">
        <v>2.58</v>
      </c>
      <c r="H161" s="12">
        <v>9554066667</v>
      </c>
      <c r="I161" s="12">
        <v>8962168494</v>
      </c>
      <c r="J161" s="12">
        <f t="shared" si="16"/>
        <v>9258117580.5</v>
      </c>
      <c r="K161" s="12">
        <v>2425</v>
      </c>
      <c r="L161" s="12">
        <f>SUM((J161/1000000)-K161)</f>
        <v>6833.1175805</v>
      </c>
      <c r="M161" s="12">
        <v>5250</v>
      </c>
      <c r="N161" s="12">
        <f t="shared" si="19"/>
        <v>7675</v>
      </c>
      <c r="O161" s="12"/>
      <c r="P161" s="12"/>
    </row>
    <row r="162" spans="1:16" ht="12.75">
      <c r="A162" s="116"/>
      <c r="B162" s="22" t="s">
        <v>156</v>
      </c>
      <c r="C162" s="13">
        <v>2.71</v>
      </c>
      <c r="D162" s="13">
        <v>2.74</v>
      </c>
      <c r="E162" s="24">
        <v>2.75</v>
      </c>
      <c r="F162" s="12">
        <v>1129.219</v>
      </c>
      <c r="G162" s="15">
        <v>2.28</v>
      </c>
      <c r="H162" s="12">
        <v>9554066667</v>
      </c>
      <c r="I162" s="12">
        <v>7907669268</v>
      </c>
      <c r="J162" s="12">
        <f t="shared" si="16"/>
        <v>8730867967.5</v>
      </c>
      <c r="K162" s="164" t="s">
        <v>147</v>
      </c>
      <c r="L162" s="12">
        <v>8731</v>
      </c>
      <c r="M162" s="12">
        <v>6700</v>
      </c>
      <c r="N162" s="12">
        <v>6700</v>
      </c>
      <c r="O162" s="12"/>
      <c r="P162" s="12"/>
    </row>
    <row r="163" spans="1:16" ht="12.75">
      <c r="A163" s="116"/>
      <c r="B163" s="11" t="s">
        <v>113</v>
      </c>
      <c r="C163" s="13">
        <v>2.71</v>
      </c>
      <c r="D163" s="13">
        <v>2.74</v>
      </c>
      <c r="E163" s="24">
        <v>2.75</v>
      </c>
      <c r="F163" s="12">
        <v>2401</v>
      </c>
      <c r="G163" s="15">
        <v>4.85</v>
      </c>
      <c r="H163" s="12">
        <v>9554066667</v>
      </c>
      <c r="I163" s="12">
        <v>16813668485</v>
      </c>
      <c r="J163" s="12">
        <f t="shared" si="16"/>
        <v>13183867576</v>
      </c>
      <c r="K163" s="12">
        <v>2800</v>
      </c>
      <c r="L163" s="12">
        <f>SUM((J163/1000000)-K163)</f>
        <v>10383.867576</v>
      </c>
      <c r="M163" s="12">
        <v>8000</v>
      </c>
      <c r="N163" s="12">
        <f t="shared" si="19"/>
        <v>10800</v>
      </c>
      <c r="O163" s="12"/>
      <c r="P163" s="12"/>
    </row>
    <row r="164" spans="1:16" ht="12.75">
      <c r="A164" s="116"/>
      <c r="B164" s="11" t="s">
        <v>114</v>
      </c>
      <c r="C164" s="13">
        <v>2.71</v>
      </c>
      <c r="D164" s="13">
        <v>2.74</v>
      </c>
      <c r="E164" s="24">
        <v>2.75</v>
      </c>
      <c r="F164" s="12">
        <v>786.693</v>
      </c>
      <c r="G164" s="15">
        <v>1.59</v>
      </c>
      <c r="H164" s="12">
        <v>9554066667</v>
      </c>
      <c r="I164" s="12">
        <v>5509035944</v>
      </c>
      <c r="J164" s="12">
        <f t="shared" si="16"/>
        <v>7531551305.5</v>
      </c>
      <c r="K164" s="164" t="s">
        <v>147</v>
      </c>
      <c r="L164" s="12">
        <v>7532</v>
      </c>
      <c r="M164" s="12">
        <v>5800</v>
      </c>
      <c r="N164" s="12">
        <v>5800</v>
      </c>
      <c r="O164" s="12">
        <v>1200</v>
      </c>
      <c r="P164" s="12">
        <v>5800</v>
      </c>
    </row>
    <row r="165" spans="1:16" ht="12.75">
      <c r="A165" s="116"/>
      <c r="B165" s="11" t="s">
        <v>115</v>
      </c>
      <c r="C165" s="13">
        <v>2.71</v>
      </c>
      <c r="D165" s="13">
        <v>2.74</v>
      </c>
      <c r="E165" s="24">
        <v>2.75</v>
      </c>
      <c r="F165" s="12">
        <v>2730.485</v>
      </c>
      <c r="G165" s="15">
        <v>5.51</v>
      </c>
      <c r="H165" s="12">
        <v>9554066667</v>
      </c>
      <c r="I165" s="12">
        <v>19120978590</v>
      </c>
      <c r="J165" s="12">
        <f t="shared" si="16"/>
        <v>14337522628.5</v>
      </c>
      <c r="K165" s="12">
        <v>710</v>
      </c>
      <c r="L165" s="12">
        <f>SUM((J165/1000000)-K165)</f>
        <v>13627.5226285</v>
      </c>
      <c r="M165" s="12">
        <v>10500</v>
      </c>
      <c r="N165" s="12">
        <f t="shared" si="19"/>
        <v>11210</v>
      </c>
      <c r="O165" s="12">
        <v>220</v>
      </c>
      <c r="P165" s="12">
        <v>7480</v>
      </c>
    </row>
    <row r="166" spans="1:16" ht="12.75">
      <c r="A166" s="116"/>
      <c r="B166" s="11" t="s">
        <v>116</v>
      </c>
      <c r="C166" s="13">
        <v>2.71</v>
      </c>
      <c r="D166" s="13">
        <v>2.74</v>
      </c>
      <c r="E166" s="24">
        <v>2.75</v>
      </c>
      <c r="F166" s="12">
        <v>1609.225</v>
      </c>
      <c r="G166" s="15">
        <v>3.25</v>
      </c>
      <c r="H166" s="12">
        <v>9554066667</v>
      </c>
      <c r="I166" s="12">
        <v>11269044426</v>
      </c>
      <c r="J166" s="12">
        <f t="shared" si="16"/>
        <v>10411555546.5</v>
      </c>
      <c r="K166" s="12">
        <v>3918</v>
      </c>
      <c r="L166" s="12">
        <f>SUM((J166/1000000)-K166)</f>
        <v>6493.5555465</v>
      </c>
      <c r="M166" s="12">
        <v>5000</v>
      </c>
      <c r="N166" s="12">
        <f t="shared" si="19"/>
        <v>8918</v>
      </c>
      <c r="O166" s="12"/>
      <c r="P166" s="12"/>
    </row>
    <row r="167" spans="1:16" ht="12.75">
      <c r="A167" s="116"/>
      <c r="B167" s="11" t="s">
        <v>117</v>
      </c>
      <c r="C167" s="13">
        <v>2.71</v>
      </c>
      <c r="D167" s="13">
        <v>2.74</v>
      </c>
      <c r="E167" s="24">
        <v>2.75</v>
      </c>
      <c r="F167" s="12">
        <v>947.87</v>
      </c>
      <c r="G167" s="15">
        <v>1.91</v>
      </c>
      <c r="H167" s="12">
        <v>9554066667</v>
      </c>
      <c r="I167" s="12">
        <v>6637722593</v>
      </c>
      <c r="J167" s="12">
        <f t="shared" si="16"/>
        <v>8095894630</v>
      </c>
      <c r="K167" s="12">
        <v>1000</v>
      </c>
      <c r="L167" s="12">
        <f>SUM((J167/1000000)-K167)</f>
        <v>7095.89463</v>
      </c>
      <c r="M167" s="12">
        <v>5450</v>
      </c>
      <c r="N167" s="12">
        <f t="shared" si="19"/>
        <v>6450</v>
      </c>
      <c r="O167" s="12"/>
      <c r="P167" s="12">
        <v>5110</v>
      </c>
    </row>
    <row r="168" spans="1:16" ht="12.75">
      <c r="A168" s="116"/>
      <c r="B168" s="11" t="s">
        <v>118</v>
      </c>
      <c r="C168" s="13">
        <v>2.71</v>
      </c>
      <c r="D168" s="13">
        <v>2.74</v>
      </c>
      <c r="E168" s="24">
        <v>2.75</v>
      </c>
      <c r="F168" s="12">
        <v>1150.146</v>
      </c>
      <c r="G168" s="15">
        <v>2.32</v>
      </c>
      <c r="H168" s="12">
        <v>9554066667</v>
      </c>
      <c r="I168" s="12">
        <v>8054216390</v>
      </c>
      <c r="J168" s="12">
        <f t="shared" si="16"/>
        <v>8804141528.5</v>
      </c>
      <c r="K168" s="164" t="s">
        <v>147</v>
      </c>
      <c r="L168" s="12">
        <v>8804</v>
      </c>
      <c r="M168" s="12">
        <v>6750</v>
      </c>
      <c r="N168" s="12">
        <v>6750</v>
      </c>
      <c r="O168" s="12"/>
      <c r="P168" s="12"/>
    </row>
    <row r="169" spans="1:16" ht="13.5" thickBot="1">
      <c r="A169" s="117"/>
      <c r="B169" s="26" t="s">
        <v>119</v>
      </c>
      <c r="C169" s="13">
        <v>2.71</v>
      </c>
      <c r="D169" s="13">
        <v>2.74</v>
      </c>
      <c r="E169" s="24">
        <v>2.75</v>
      </c>
      <c r="F169" s="29">
        <v>1445.586</v>
      </c>
      <c r="G169" s="32">
        <v>2.92</v>
      </c>
      <c r="H169" s="12">
        <v>9554066667</v>
      </c>
      <c r="I169" s="29">
        <v>10123116939</v>
      </c>
      <c r="J169" s="29">
        <f t="shared" si="16"/>
        <v>9838591803</v>
      </c>
      <c r="K169" s="165" t="s">
        <v>147</v>
      </c>
      <c r="L169" s="29">
        <v>9839</v>
      </c>
      <c r="M169" s="29">
        <v>7550</v>
      </c>
      <c r="N169" s="29">
        <v>7550</v>
      </c>
      <c r="O169" s="29"/>
      <c r="P169" s="29"/>
    </row>
    <row r="170" spans="1:16" s="88" customFormat="1" ht="14.25" thickBot="1" thickTop="1">
      <c r="A170" s="30" t="s">
        <v>124</v>
      </c>
      <c r="B170" s="31" t="s">
        <v>150</v>
      </c>
      <c r="C170" s="34">
        <f>SUM(C161:C169)</f>
        <v>24.390000000000004</v>
      </c>
      <c r="D170" s="34">
        <f>SUM(D161:D169)</f>
        <v>24.660000000000004</v>
      </c>
      <c r="E170" s="35">
        <v>24.78</v>
      </c>
      <c r="F170" s="36">
        <f>SUM(F161:F169)</f>
        <v>13480.026000000002</v>
      </c>
      <c r="G170" s="34">
        <v>27.2</v>
      </c>
      <c r="H170" s="36">
        <f>SUM(H161:H169)</f>
        <v>85986600003</v>
      </c>
      <c r="I170" s="36">
        <v>94397621130</v>
      </c>
      <c r="J170" s="36">
        <v>90192110565</v>
      </c>
      <c r="K170" s="36">
        <f>SUM(K161:K169)</f>
        <v>10853</v>
      </c>
      <c r="L170" s="36">
        <v>79339</v>
      </c>
      <c r="M170" s="36">
        <f>SUM(M161:M169)</f>
        <v>61000</v>
      </c>
      <c r="N170" s="36">
        <f>SUM(N161:N169)</f>
        <v>71853</v>
      </c>
      <c r="O170" s="36">
        <f>SUM(O161:O169)</f>
        <v>1420</v>
      </c>
      <c r="P170" s="36">
        <f>SUM(P161:P169)</f>
        <v>18390</v>
      </c>
    </row>
    <row r="171" spans="1:16" s="44" customFormat="1" ht="6" customHeight="1" thickTop="1">
      <c r="A171" s="38"/>
      <c r="B171" s="45"/>
      <c r="C171" s="40"/>
      <c r="D171" s="40"/>
      <c r="E171" s="42"/>
      <c r="F171" s="46"/>
      <c r="G171" s="47"/>
      <c r="H171" s="42"/>
      <c r="I171" s="42"/>
      <c r="J171" s="42"/>
      <c r="K171" s="42"/>
      <c r="L171" s="42"/>
      <c r="M171" s="42"/>
      <c r="N171" s="42"/>
      <c r="O171" s="42"/>
      <c r="P171" s="185"/>
    </row>
    <row r="172" spans="1:16" ht="12.75">
      <c r="A172" s="10" t="s">
        <v>18</v>
      </c>
      <c r="B172" s="11"/>
      <c r="C172" s="13"/>
      <c r="D172" s="13"/>
      <c r="E172" s="12"/>
      <c r="F172" s="14"/>
      <c r="G172" s="15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2.75">
      <c r="A173" s="25"/>
      <c r="B173" s="11" t="s">
        <v>120</v>
      </c>
      <c r="C173" s="13">
        <v>1.99</v>
      </c>
      <c r="D173" s="13">
        <v>2.01</v>
      </c>
      <c r="E173" s="24">
        <v>1.97</v>
      </c>
      <c r="F173" s="12">
        <v>1158</v>
      </c>
      <c r="G173" s="15">
        <v>2.34</v>
      </c>
      <c r="H173" s="12">
        <v>6844575000</v>
      </c>
      <c r="I173" s="12">
        <v>8109216204</v>
      </c>
      <c r="J173" s="12">
        <f t="shared" si="16"/>
        <v>7476895602</v>
      </c>
      <c r="K173" s="12">
        <v>3400</v>
      </c>
      <c r="L173" s="12">
        <f>SUM((J173/1000000)-K173)</f>
        <v>4076.8956019999996</v>
      </c>
      <c r="M173" s="12">
        <v>3150</v>
      </c>
      <c r="N173" s="12">
        <f t="shared" si="19"/>
        <v>6550</v>
      </c>
      <c r="O173" s="12"/>
      <c r="P173" s="12"/>
    </row>
    <row r="174" spans="1:16" ht="12.75">
      <c r="A174" s="116"/>
      <c r="B174" s="11" t="s">
        <v>121</v>
      </c>
      <c r="C174" s="13">
        <v>1.99</v>
      </c>
      <c r="D174" s="13">
        <v>2.01</v>
      </c>
      <c r="E174" s="24">
        <v>1.97</v>
      </c>
      <c r="F174" s="12">
        <v>1261</v>
      </c>
      <c r="G174" s="15">
        <v>2.54</v>
      </c>
      <c r="H174" s="12">
        <v>6844575000</v>
      </c>
      <c r="I174" s="12">
        <v>8830502274</v>
      </c>
      <c r="J174" s="12">
        <f t="shared" si="16"/>
        <v>7837538637</v>
      </c>
      <c r="K174" s="12">
        <v>3000</v>
      </c>
      <c r="L174" s="12">
        <f>SUM((J174/1000000)-K174)</f>
        <v>4837.538637</v>
      </c>
      <c r="M174" s="12">
        <v>3700</v>
      </c>
      <c r="N174" s="12">
        <f t="shared" si="19"/>
        <v>6700</v>
      </c>
      <c r="O174" s="12">
        <v>1800</v>
      </c>
      <c r="P174" s="12">
        <v>3700</v>
      </c>
    </row>
    <row r="175" spans="1:16" ht="12.75">
      <c r="A175" s="116"/>
      <c r="B175" s="11" t="s">
        <v>122</v>
      </c>
      <c r="C175" s="13">
        <v>1.99</v>
      </c>
      <c r="D175" s="13">
        <v>2.01</v>
      </c>
      <c r="E175" s="24">
        <v>1.97</v>
      </c>
      <c r="F175" s="12">
        <v>929</v>
      </c>
      <c r="G175" s="15">
        <v>1.87</v>
      </c>
      <c r="H175" s="12">
        <v>6844575000</v>
      </c>
      <c r="I175" s="12">
        <v>6505580184</v>
      </c>
      <c r="J175" s="12">
        <f t="shared" si="16"/>
        <v>6675077592</v>
      </c>
      <c r="K175" s="12">
        <v>3600</v>
      </c>
      <c r="L175" s="12">
        <f>SUM((J175/1000000)-K175)</f>
        <v>3075.0775919999996</v>
      </c>
      <c r="M175" s="12">
        <v>2350</v>
      </c>
      <c r="N175" s="12">
        <f t="shared" si="19"/>
        <v>5950</v>
      </c>
      <c r="O175" s="12">
        <v>650</v>
      </c>
      <c r="P175" s="12">
        <v>350</v>
      </c>
    </row>
    <row r="176" spans="1:16" ht="13.5" thickBot="1">
      <c r="A176" s="117"/>
      <c r="B176" s="11" t="s">
        <v>123</v>
      </c>
      <c r="C176" s="13">
        <v>1.99</v>
      </c>
      <c r="D176" s="13">
        <v>2.01</v>
      </c>
      <c r="E176" s="24">
        <v>1.97</v>
      </c>
      <c r="F176" s="12">
        <v>2010.596</v>
      </c>
      <c r="G176" s="15">
        <v>4.06</v>
      </c>
      <c r="H176" s="12">
        <v>6844575000</v>
      </c>
      <c r="I176" s="12">
        <v>14079756185</v>
      </c>
      <c r="J176" s="12">
        <f t="shared" si="16"/>
        <v>10462165592.5</v>
      </c>
      <c r="K176" s="12">
        <v>5662</v>
      </c>
      <c r="L176" s="12">
        <f>SUM((J176/1000000)-K176)</f>
        <v>4800.1655925</v>
      </c>
      <c r="M176" s="12">
        <v>3700</v>
      </c>
      <c r="N176" s="12">
        <f t="shared" si="19"/>
        <v>9362</v>
      </c>
      <c r="O176" s="12"/>
      <c r="P176" s="12"/>
    </row>
    <row r="177" spans="1:16" s="88" customFormat="1" ht="14.25" thickBot="1" thickTop="1">
      <c r="A177" s="30" t="s">
        <v>124</v>
      </c>
      <c r="B177" s="31" t="s">
        <v>143</v>
      </c>
      <c r="C177" s="34">
        <f>SUM(C173:C176)</f>
        <v>7.96</v>
      </c>
      <c r="D177" s="34">
        <f>SUM(D173:D176)</f>
        <v>8.04</v>
      </c>
      <c r="E177" s="35">
        <v>7.89</v>
      </c>
      <c r="F177" s="36">
        <f>SUM(F173:F176)</f>
        <v>5358.596</v>
      </c>
      <c r="G177" s="33">
        <v>10.82</v>
      </c>
      <c r="H177" s="36">
        <f>SUM(H173:H176)</f>
        <v>27378300000</v>
      </c>
      <c r="I177" s="36">
        <f>SUM(I173:I176)+1</f>
        <v>37525054848</v>
      </c>
      <c r="J177" s="36">
        <f>SUM((H177+I177)/2)</f>
        <v>32451677424</v>
      </c>
      <c r="K177" s="36">
        <f>SUM(K173:K176)</f>
        <v>15662</v>
      </c>
      <c r="L177" s="36">
        <f>SUM((J177/1000000)-K177)</f>
        <v>16789.677424</v>
      </c>
      <c r="M177" s="36">
        <f>SUM(M173:M176)</f>
        <v>12900</v>
      </c>
      <c r="N177" s="36">
        <f t="shared" si="19"/>
        <v>28562</v>
      </c>
      <c r="O177" s="36">
        <f>SUM(O173:O176)</f>
        <v>2450</v>
      </c>
      <c r="P177" s="36">
        <f>SUM(P173:P176)</f>
        <v>4050</v>
      </c>
    </row>
    <row r="178" spans="1:16" s="44" customFormat="1" ht="6" customHeight="1" thickTop="1">
      <c r="A178" s="38"/>
      <c r="B178" s="45"/>
      <c r="C178" s="40"/>
      <c r="D178" s="40"/>
      <c r="E178" s="42"/>
      <c r="F178" s="46"/>
      <c r="G178" s="47"/>
      <c r="H178" s="42"/>
      <c r="I178" s="42"/>
      <c r="J178" s="42"/>
      <c r="K178" s="42"/>
      <c r="L178" s="42"/>
      <c r="M178" s="42"/>
      <c r="N178" s="42"/>
      <c r="O178" s="42"/>
      <c r="P178" s="185"/>
    </row>
    <row r="179" spans="1:16" s="115" customFormat="1" ht="15.75" customHeight="1" thickBot="1">
      <c r="A179" s="168"/>
      <c r="B179" s="169"/>
      <c r="C179" s="170"/>
      <c r="D179" s="170"/>
      <c r="E179" s="171"/>
      <c r="F179" s="172"/>
      <c r="H179" s="171"/>
      <c r="I179" s="171"/>
      <c r="J179" s="171"/>
      <c r="K179" s="171"/>
      <c r="L179" s="171"/>
      <c r="M179" s="171"/>
      <c r="N179" s="171"/>
      <c r="O179" s="171"/>
      <c r="P179" s="197"/>
    </row>
    <row r="180" spans="1:16" s="178" customFormat="1" ht="31.5" thickBot="1" thickTop="1">
      <c r="A180" s="167" t="s">
        <v>159</v>
      </c>
      <c r="B180" s="173" t="s">
        <v>160</v>
      </c>
      <c r="C180" s="174">
        <f>C124+C129+C137+C145+C150+C158+C170+C177</f>
        <v>100</v>
      </c>
      <c r="D180" s="174">
        <f>D124+D129+D137+D145+D150+D158+D170+D177</f>
        <v>100</v>
      </c>
      <c r="E180" s="175">
        <f>E124+E129+E137+E145+E150+E158+E170+E177</f>
        <v>100.00000000000001</v>
      </c>
      <c r="F180" s="176">
        <f>F124+F129+F137+F145+F150+F158+F170+F177</f>
        <v>49551.768000000004</v>
      </c>
      <c r="G180" s="174">
        <f>G124+G129+G137+G145+G150+G158+G170+G177</f>
        <v>100</v>
      </c>
      <c r="H180" s="177">
        <v>347000000000</v>
      </c>
      <c r="I180" s="177">
        <v>347000000000</v>
      </c>
      <c r="J180" s="176">
        <f aca="true" t="shared" si="24" ref="J180:P180">J124+J129+J137+J145+J150+J158+J170+J177</f>
        <v>346999999999.5</v>
      </c>
      <c r="K180" s="176">
        <f t="shared" si="24"/>
        <v>101901</v>
      </c>
      <c r="L180" s="176">
        <f t="shared" si="24"/>
        <v>245098.8894345</v>
      </c>
      <c r="M180" s="176">
        <f t="shared" si="24"/>
        <v>188450</v>
      </c>
      <c r="N180" s="176">
        <f t="shared" si="24"/>
        <v>290351</v>
      </c>
      <c r="O180" s="176">
        <f t="shared" si="24"/>
        <v>6580</v>
      </c>
      <c r="P180" s="182">
        <f t="shared" si="24"/>
        <v>75630.1</v>
      </c>
    </row>
    <row r="181" spans="1:16" ht="13.5" thickTop="1">
      <c r="A181" s="6"/>
      <c r="B181" s="5"/>
      <c r="C181" s="7"/>
      <c r="D181" s="7"/>
      <c r="E181" s="1"/>
      <c r="F181" s="9"/>
      <c r="G181" s="2"/>
      <c r="H181" s="145"/>
      <c r="I181" s="145"/>
      <c r="J181" s="1"/>
      <c r="K181" s="1"/>
      <c r="L181" s="1"/>
      <c r="M181" s="1"/>
      <c r="N181" s="1"/>
      <c r="O181" s="1"/>
      <c r="P181" s="198"/>
    </row>
    <row r="182" spans="1:16" s="133" customFormat="1" ht="6" customHeight="1" thickBot="1">
      <c r="A182" s="199"/>
      <c r="B182" s="146"/>
      <c r="C182" s="147"/>
      <c r="D182" s="147"/>
      <c r="E182" s="146"/>
      <c r="F182" s="146"/>
      <c r="G182" s="146"/>
      <c r="H182" s="148"/>
      <c r="I182" s="148"/>
      <c r="J182" s="146"/>
      <c r="K182" s="146"/>
      <c r="L182" s="146"/>
      <c r="M182" s="146"/>
      <c r="N182" s="146"/>
      <c r="O182" s="146"/>
      <c r="P182" s="200"/>
    </row>
    <row r="183" spans="1:16" s="149" customFormat="1" ht="58.5">
      <c r="A183" s="201" t="s">
        <v>157</v>
      </c>
      <c r="B183" s="202" t="s">
        <v>162</v>
      </c>
      <c r="C183" s="203" t="s">
        <v>164</v>
      </c>
      <c r="D183" s="203" t="s">
        <v>164</v>
      </c>
      <c r="E183" s="204" t="s">
        <v>164</v>
      </c>
      <c r="F183" s="205">
        <f>F96+F180+F113</f>
        <v>114662.97</v>
      </c>
      <c r="G183" s="204" t="s">
        <v>164</v>
      </c>
      <c r="H183" s="206">
        <f aca="true" t="shared" si="25" ref="H183:P183">H96+H113+H180</f>
        <v>407000000000</v>
      </c>
      <c r="I183" s="206">
        <f t="shared" si="25"/>
        <v>407000000000</v>
      </c>
      <c r="J183" s="207">
        <f t="shared" si="25"/>
        <v>406999999999.5</v>
      </c>
      <c r="K183" s="207">
        <f t="shared" si="25"/>
        <v>200000</v>
      </c>
      <c r="L183" s="207">
        <f t="shared" si="25"/>
        <v>219708.610995</v>
      </c>
      <c r="M183" s="207">
        <f t="shared" si="25"/>
        <v>206915</v>
      </c>
      <c r="N183" s="207">
        <f t="shared" si="25"/>
        <v>406915</v>
      </c>
      <c r="O183" s="207">
        <f t="shared" si="25"/>
        <v>7830</v>
      </c>
      <c r="P183" s="208">
        <f t="shared" si="25"/>
        <v>84188.1</v>
      </c>
    </row>
    <row r="186" ht="12.75">
      <c r="A186" s="180" t="s">
        <v>166</v>
      </c>
    </row>
    <row r="187" spans="1:16" ht="225.75" customHeight="1">
      <c r="A187" s="222" t="s">
        <v>167</v>
      </c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</row>
    <row r="188" ht="255">
      <c r="A188" s="223" t="s">
        <v>168</v>
      </c>
    </row>
    <row r="195" ht="12.75">
      <c r="J195" s="215"/>
    </row>
  </sheetData>
  <mergeCells count="2">
    <mergeCell ref="A1:D1"/>
    <mergeCell ref="A116:D116"/>
  </mergeCells>
  <printOptions horizontalCentered="1"/>
  <pageMargins left="0.1968503937007874" right="0.2362204724409449" top="0.5511811023622047" bottom="0.5511811023622047" header="0.5118110236220472" footer="0.5511811023622047"/>
  <pageSetup horizontalDpi="600" verticalDpi="600" orientation="landscape" paperSize="9" scale="80" r:id="rId1"/>
  <rowBreaks count="2" manualBreakCount="2">
    <brk id="86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LLPP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 - DIGES</dc:creator>
  <cp:keywords/>
  <dc:description/>
  <cp:lastModifiedBy>Isabella Panunzio</cp:lastModifiedBy>
  <cp:lastPrinted>2000-11-07T19:50:32Z</cp:lastPrinted>
  <dcterms:created xsi:type="dcterms:W3CDTF">1998-12-28T10:16:02Z</dcterms:created>
  <dcterms:modified xsi:type="dcterms:W3CDTF">2000-11-07T19:51:47Z</dcterms:modified>
  <cp:category/>
  <cp:version/>
  <cp:contentType/>
  <cp:contentStatus/>
</cp:coreProperties>
</file>