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90" activeTab="0"/>
  </bookViews>
  <sheets>
    <sheet name="aids00e01" sheetId="1" r:id="rId1"/>
  </sheets>
  <definedNames>
    <definedName name="_xlnm.Print_Area" localSheetId="0">'aids00e01'!$A$1:$M$35</definedName>
  </definedNames>
  <calcPr fullCalcOnLoad="1"/>
</workbook>
</file>

<file path=xl/sharedStrings.xml><?xml version="1.0" encoding="utf-8"?>
<sst xmlns="http://schemas.openxmlformats.org/spreadsheetml/2006/main" count="84" uniqueCount="53">
  <si>
    <t>PL mal. inf.ve</t>
  </si>
  <si>
    <t>Malati</t>
  </si>
  <si>
    <t>TOTALE</t>
  </si>
  <si>
    <t>PL teorici</t>
  </si>
  <si>
    <t>lire</t>
  </si>
  <si>
    <t>euro</t>
  </si>
  <si>
    <t>PIEMONTE</t>
  </si>
  <si>
    <t>LOMBARDIA</t>
  </si>
  <si>
    <t>VENETO</t>
  </si>
  <si>
    <t>LIGURIA</t>
  </si>
  <si>
    <t>EMILIA .ROM.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</si>
  <si>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</si>
  <si>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</si>
  <si>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</si>
  <si>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</si>
  <si>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</si>
  <si>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</si>
  <si>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</si>
  <si>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</si>
  <si>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</si>
  <si>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</si>
  <si>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</si>
  <si>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</si>
  <si>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Per Sicilia e Sardegna sono state effettuate le ritenute di legge sui parametri: PL mal. inf.ve - Malati AIDS - PL teorici dom.re.</t>
  </si>
  <si>
    <t xml:space="preserve">Sicilia: </t>
  </si>
  <si>
    <t>Sardegna:</t>
  </si>
  <si>
    <t>ass. 98</t>
  </si>
  <si>
    <t>diff</t>
  </si>
  <si>
    <t>I dati originari ammontano, rispettivamente, a:</t>
  </si>
  <si>
    <t>ass. 97</t>
  </si>
  <si>
    <t>N° malati</t>
  </si>
  <si>
    <t>anagrafici</t>
  </si>
  <si>
    <t>PL Mal Inf '99</t>
  </si>
  <si>
    <t>PL Mal Inf '98</t>
  </si>
  <si>
    <t>attività</t>
  </si>
  <si>
    <t>al 30/6/2000</t>
  </si>
  <si>
    <t>milioni di</t>
  </si>
  <si>
    <t>al 30/6/2001</t>
  </si>
  <si>
    <t>(70%)</t>
  </si>
  <si>
    <t>(30%)</t>
  </si>
  <si>
    <t>(50%)</t>
  </si>
  <si>
    <t xml:space="preserve"> (35 mld di lire)</t>
  </si>
  <si>
    <t xml:space="preserve"> (60 mld di lire)</t>
  </si>
  <si>
    <t>totale</t>
  </si>
  <si>
    <t xml:space="preserve">    CORSI DI FORMAZIONE</t>
  </si>
  <si>
    <t>(2.100)</t>
  </si>
  <si>
    <t xml:space="preserve">   TRATT.TO DOMICILIARE</t>
  </si>
  <si>
    <t>TOTALE FSN 2000 e 2001</t>
  </si>
  <si>
    <t xml:space="preserve">                      (190 mld di lire)</t>
  </si>
  <si>
    <t xml:space="preserve">                  (95 mld di lire)</t>
  </si>
  <si>
    <t xml:space="preserve">      QUOTA FSN 2000</t>
  </si>
  <si>
    <t xml:space="preserve">      QUOTA FSN 2001</t>
  </si>
  <si>
    <t xml:space="preserve">                                                  FSN 2000 e 2001 - Finanziamento interventi legge 135/90</t>
  </si>
</sst>
</file>

<file path=xl/styles.xml><?xml version="1.0" encoding="utf-8"?>
<styleSheet xmlns="http://schemas.openxmlformats.org/spreadsheetml/2006/main">
  <numFmts count="3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_-* #,##0.0_-;\-* #,##0.0_-;_-* &quot;-&quot;_-;_-@_-"/>
    <numFmt numFmtId="166" formatCode="_-* #,##0.00_-;\-* #,##0.00_-;_-* &quot;-&quot;_-;_-@_-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-* #,##0.000_-;\-* #,##0.000_-;_-* &quot;-&quot;_-;_-@_-"/>
    <numFmt numFmtId="173" formatCode="_-* #,##0.0000_-;\-* #,##0.0000_-;_-* &quot;-&quot;_-;_-@_-"/>
    <numFmt numFmtId="174" formatCode="_-* #,##0.00000_-;\-* #,##0.00000_-;_-* &quot;-&quot;_-;_-@_-"/>
    <numFmt numFmtId="175" formatCode="_-* #,##0.000000_-;\-* #,##0.000000_-;_-* &quot;-&quot;_-;_-@_-"/>
    <numFmt numFmtId="176" formatCode="_-* #,##0.0000000_-;\-* #,##0.0000000_-;_-* &quot;-&quot;_-;_-@_-"/>
    <numFmt numFmtId="177" formatCode="_-* #,##0.00000000_-;\-* #,##0.00000000_-;_-* &quot;-&quot;_-;_-@_-"/>
    <numFmt numFmtId="178" formatCode="_-* #,##0.000000000_-;\-* #,##0.000000000_-;_-* &quot;-&quot;_-;_-@_-"/>
    <numFmt numFmtId="179" formatCode="_-* #,##0.0000000000_-;\-* #,##0.0000000000_-;_-* &quot;-&quot;_-;_-@_-"/>
    <numFmt numFmtId="180" formatCode="_-* #,##0.00000000000_-;\-* #,##0.00000000000_-;_-* &quot;-&quot;_-;_-@_-"/>
    <numFmt numFmtId="181" formatCode="_-* #,##0.000000000000_-;\-* #,##0.000000000000_-;_-* &quot;-&quot;_-;_-@_-"/>
    <numFmt numFmtId="182" formatCode="_-* #,##0.0000000000000_-;\-* #,##0.0000000000000_-;_-* &quot;-&quot;_-;_-@_-"/>
    <numFmt numFmtId="183" formatCode="_-* #,##0.00000000000000_-;\-* #,##0.00000000000000_-;_-* &quot;-&quot;_-;_-@_-"/>
    <numFmt numFmtId="184" formatCode="_-* #,##0.000000000000000_-;\-* #,##0.000000000000000_-;_-* &quot;-&quot;_-;_-@_-"/>
    <numFmt numFmtId="185" formatCode="_-* #,##0.0000000000000000_-;\-* #,##0.0000000000000000_-;_-* &quot;-&quot;_-;_-@_-"/>
    <numFmt numFmtId="186" formatCode="0.0"/>
    <numFmt numFmtId="187" formatCode="#,##0.000"/>
    <numFmt numFmtId="188" formatCode="#,##0.0000"/>
    <numFmt numFmtId="189" formatCode="#,##0.00000"/>
    <numFmt numFmtId="190" formatCode="#,##0.0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 quotePrefix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4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3" fontId="5" fillId="0" borderId="6" xfId="0" applyNumberFormat="1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/>
    </xf>
    <xf numFmtId="3" fontId="5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5" xfId="0" applyFont="1" applyBorder="1" applyAlignment="1" quotePrefix="1">
      <alignment horizontal="center"/>
    </xf>
    <xf numFmtId="0" fontId="7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3" fontId="5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166" fontId="8" fillId="0" borderId="25" xfId="16" applyNumberFormat="1" applyFont="1" applyBorder="1" applyAlignment="1">
      <alignment/>
    </xf>
    <xf numFmtId="166" fontId="8" fillId="0" borderId="8" xfId="16" applyNumberFormat="1" applyFont="1" applyBorder="1" applyAlignment="1">
      <alignment/>
    </xf>
    <xf numFmtId="172" fontId="8" fillId="0" borderId="4" xfId="16" applyNumberFormat="1" applyFont="1" applyBorder="1" applyAlignment="1">
      <alignment/>
    </xf>
    <xf numFmtId="41" fontId="5" fillId="0" borderId="0" xfId="16" applyFont="1" applyAlignment="1">
      <alignment/>
    </xf>
    <xf numFmtId="166" fontId="5" fillId="0" borderId="0" xfId="16" applyNumberFormat="1" applyFont="1" applyBorder="1" applyAlignment="1">
      <alignment/>
    </xf>
    <xf numFmtId="166" fontId="5" fillId="0" borderId="0" xfId="0" applyNumberFormat="1" applyFont="1" applyAlignment="1">
      <alignment/>
    </xf>
    <xf numFmtId="166" fontId="5" fillId="0" borderId="0" xfId="16" applyNumberFormat="1" applyFont="1" applyAlignment="1">
      <alignment/>
    </xf>
    <xf numFmtId="0" fontId="7" fillId="0" borderId="17" xfId="0" applyFont="1" applyBorder="1" applyAlignment="1" quotePrefix="1">
      <alignment horizontal="center"/>
    </xf>
    <xf numFmtId="0" fontId="7" fillId="0" borderId="1" xfId="0" applyFont="1" applyBorder="1" applyAlignment="1" quotePrefix="1">
      <alignment horizontal="center"/>
    </xf>
    <xf numFmtId="0" fontId="8" fillId="0" borderId="14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3" xfId="0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166" fontId="8" fillId="0" borderId="0" xfId="16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showGridLines="0" tabSelected="1" zoomScale="75" zoomScaleNormal="75" workbookViewId="0" topLeftCell="A1">
      <selection activeCell="D1" sqref="D1"/>
    </sheetView>
  </sheetViews>
  <sheetFormatPr defaultColWidth="9.140625" defaultRowHeight="12.75"/>
  <cols>
    <col min="1" max="1" width="13.421875" style="3" customWidth="1"/>
    <col min="2" max="2" width="10.57421875" style="3" customWidth="1"/>
    <col min="3" max="3" width="10.7109375" style="3" customWidth="1"/>
    <col min="4" max="4" width="11.57421875" style="13" customWidth="1"/>
    <col min="5" max="5" width="10.57421875" style="3" customWidth="1"/>
    <col min="6" max="6" width="10.7109375" style="3" customWidth="1"/>
    <col min="7" max="7" width="11.57421875" style="13" customWidth="1"/>
    <col min="8" max="8" width="10.57421875" style="13" customWidth="1"/>
    <col min="9" max="9" width="16.57421875" style="13" bestFit="1" customWidth="1"/>
    <col min="10" max="10" width="10.57421875" style="13" customWidth="1"/>
    <col min="11" max="11" width="16.00390625" style="13" customWidth="1"/>
    <col min="12" max="12" width="10.57421875" style="13" hidden="1" customWidth="1"/>
    <col min="13" max="13" width="16.57421875" style="13" hidden="1" customWidth="1"/>
    <col min="14" max="18" width="9.140625" style="3" hidden="1" customWidth="1"/>
    <col min="19" max="19" width="9.140625" style="3" customWidth="1"/>
    <col min="20" max="20" width="16.57421875" style="3" bestFit="1" customWidth="1"/>
    <col min="21" max="21" width="13.28125" style="3" bestFit="1" customWidth="1"/>
    <col min="22" max="22" width="15.140625" style="3" bestFit="1" customWidth="1"/>
    <col min="23" max="16384" width="9.140625" style="3" customWidth="1"/>
  </cols>
  <sheetData>
    <row r="1" spans="1:12" ht="20.25">
      <c r="A1" s="1" t="s">
        <v>52</v>
      </c>
      <c r="E1" s="4"/>
      <c r="H1" s="12"/>
      <c r="J1" s="12"/>
      <c r="L1" s="12"/>
    </row>
    <row r="2" spans="1:12" ht="12.75">
      <c r="A2" s="2"/>
      <c r="D2" s="4"/>
      <c r="E2" s="2"/>
      <c r="H2" s="12"/>
      <c r="J2" s="12"/>
      <c r="L2" s="12"/>
    </row>
    <row r="3" spans="1:12" ht="13.5" thickBot="1">
      <c r="A3" s="2"/>
      <c r="E3" s="2"/>
      <c r="F3" s="2"/>
      <c r="H3" s="12"/>
      <c r="J3" s="12"/>
      <c r="L3" s="12"/>
    </row>
    <row r="4" spans="1:13" ht="20.25">
      <c r="A4" s="2"/>
      <c r="B4" s="33" t="s">
        <v>44</v>
      </c>
      <c r="C4" s="34"/>
      <c r="D4" s="35"/>
      <c r="E4" s="33" t="s">
        <v>46</v>
      </c>
      <c r="F4" s="34"/>
      <c r="G4" s="35"/>
      <c r="H4" s="69" t="s">
        <v>50</v>
      </c>
      <c r="I4" s="66"/>
      <c r="J4" s="69" t="s">
        <v>51</v>
      </c>
      <c r="K4" s="66"/>
      <c r="L4" s="69" t="s">
        <v>47</v>
      </c>
      <c r="M4" s="66"/>
    </row>
    <row r="5" spans="1:13" ht="13.5" thickBot="1">
      <c r="A5" s="29"/>
      <c r="B5" s="36"/>
      <c r="C5" s="17" t="s">
        <v>41</v>
      </c>
      <c r="D5" s="37"/>
      <c r="E5" s="51"/>
      <c r="F5" s="6" t="s">
        <v>42</v>
      </c>
      <c r="G5" s="37"/>
      <c r="H5" s="70" t="s">
        <v>49</v>
      </c>
      <c r="I5" s="50"/>
      <c r="J5" s="70" t="s">
        <v>49</v>
      </c>
      <c r="K5" s="50"/>
      <c r="L5" s="70" t="s">
        <v>48</v>
      </c>
      <c r="M5" s="50"/>
    </row>
    <row r="6" spans="1:13" ht="12.75">
      <c r="A6" s="29"/>
      <c r="B6" s="38" t="s">
        <v>0</v>
      </c>
      <c r="C6" s="19" t="s">
        <v>1</v>
      </c>
      <c r="D6" s="21" t="s">
        <v>43</v>
      </c>
      <c r="E6" s="38" t="s">
        <v>3</v>
      </c>
      <c r="F6" s="19" t="s">
        <v>1</v>
      </c>
      <c r="G6" s="21" t="s">
        <v>43</v>
      </c>
      <c r="H6" s="63"/>
      <c r="I6" s="49"/>
      <c r="J6" s="63"/>
      <c r="K6" s="49"/>
      <c r="L6" s="63"/>
      <c r="M6" s="49"/>
    </row>
    <row r="7" spans="1:18" ht="13.5" thickBot="1">
      <c r="A7" s="29"/>
      <c r="B7" s="39"/>
      <c r="C7" s="5"/>
      <c r="D7" s="22"/>
      <c r="E7" s="61" t="s">
        <v>45</v>
      </c>
      <c r="F7" s="5"/>
      <c r="G7" s="22"/>
      <c r="H7" s="63" t="s">
        <v>36</v>
      </c>
      <c r="I7" s="49"/>
      <c r="J7" s="63" t="s">
        <v>36</v>
      </c>
      <c r="K7" s="49"/>
      <c r="L7" s="63" t="s">
        <v>36</v>
      </c>
      <c r="M7" s="49"/>
      <c r="N7" s="18" t="s">
        <v>29</v>
      </c>
      <c r="O7" s="18" t="s">
        <v>26</v>
      </c>
      <c r="P7" s="18" t="s">
        <v>27</v>
      </c>
      <c r="Q7" s="18" t="s">
        <v>27</v>
      </c>
      <c r="R7" s="18" t="s">
        <v>27</v>
      </c>
    </row>
    <row r="8" spans="1:18" ht="12.75">
      <c r="A8" s="29"/>
      <c r="B8" s="61" t="s">
        <v>38</v>
      </c>
      <c r="C8" s="62" t="s">
        <v>39</v>
      </c>
      <c r="D8" s="40"/>
      <c r="E8" s="61" t="s">
        <v>40</v>
      </c>
      <c r="F8" s="5" t="str">
        <f>+E8</f>
        <v>(50%)</v>
      </c>
      <c r="G8" s="40"/>
      <c r="H8" s="63" t="s">
        <v>4</v>
      </c>
      <c r="I8" s="49" t="s">
        <v>5</v>
      </c>
      <c r="J8" s="63" t="s">
        <v>4</v>
      </c>
      <c r="K8" s="49" t="s">
        <v>5</v>
      </c>
      <c r="L8" s="63" t="s">
        <v>4</v>
      </c>
      <c r="M8" s="49" t="s">
        <v>5</v>
      </c>
      <c r="Q8" s="10">
        <f>+D60</f>
        <v>15791</v>
      </c>
      <c r="R8" s="10">
        <f>+C60</f>
        <v>14362</v>
      </c>
    </row>
    <row r="9" spans="1:13" ht="12.75">
      <c r="A9" s="31"/>
      <c r="B9" s="41"/>
      <c r="C9" s="7"/>
      <c r="D9" s="42"/>
      <c r="E9" s="52"/>
      <c r="F9" s="7"/>
      <c r="G9" s="42"/>
      <c r="H9" s="64"/>
      <c r="I9" s="65"/>
      <c r="J9" s="64"/>
      <c r="K9" s="65"/>
      <c r="L9" s="64"/>
      <c r="M9" s="65"/>
    </row>
    <row r="10" spans="1:22" ht="12.75">
      <c r="A10" s="32" t="s">
        <v>6</v>
      </c>
      <c r="B10" s="43">
        <f>+F42</f>
        <v>372</v>
      </c>
      <c r="C10" s="9">
        <f>+D42</f>
        <v>982</v>
      </c>
      <c r="D10" s="44">
        <f>ROUND(B10/$B$28*70*35000/100+C10/$C$28*30*35000/100,0)</f>
        <v>2583</v>
      </c>
      <c r="E10" s="53">
        <v>150</v>
      </c>
      <c r="F10" s="9">
        <f>+C10</f>
        <v>982</v>
      </c>
      <c r="G10" s="44">
        <f>ROUND(+E10/$E$28*30000+F10/$F$28*30000,0)</f>
        <v>4162</v>
      </c>
      <c r="H10" s="67">
        <f>+D10+G10</f>
        <v>6745</v>
      </c>
      <c r="I10" s="54">
        <f>ROUND(+H10/$I$37*1000000,2)+0.01</f>
        <v>3483501.7899999996</v>
      </c>
      <c r="J10" s="67">
        <f>+H10</f>
        <v>6745</v>
      </c>
      <c r="K10" s="54">
        <f>+I10</f>
        <v>3483501.7899999996</v>
      </c>
      <c r="L10" s="67">
        <f>+H10*2</f>
        <v>13490</v>
      </c>
      <c r="M10" s="54">
        <f>+I10*2+0.01</f>
        <v>6967003.589999999</v>
      </c>
      <c r="N10" s="10">
        <v>7634</v>
      </c>
      <c r="O10" s="10"/>
      <c r="P10" s="10">
        <f>+O10-N10</f>
        <v>-7634</v>
      </c>
      <c r="Q10" s="10"/>
      <c r="R10" s="10">
        <v>-362</v>
      </c>
      <c r="T10" s="57"/>
      <c r="U10" s="58"/>
      <c r="V10" s="59"/>
    </row>
    <row r="11" spans="1:22" ht="12.75">
      <c r="A11" s="32" t="s">
        <v>7</v>
      </c>
      <c r="B11" s="43">
        <f aca="true" t="shared" si="0" ref="B11:B24">+F43</f>
        <v>692</v>
      </c>
      <c r="C11" s="9">
        <f aca="true" t="shared" si="1" ref="C11:C24">+D43</f>
        <v>4620</v>
      </c>
      <c r="D11" s="44">
        <f>ROUND(B11/$B$28*70*35000/100+C11/$C$28*30*35000/100,0)</f>
        <v>6726</v>
      </c>
      <c r="E11" s="53">
        <v>707</v>
      </c>
      <c r="F11" s="9">
        <f aca="true" t="shared" si="2" ref="F11:F26">+C11</f>
        <v>4620</v>
      </c>
      <c r="G11" s="44">
        <f>ROUND(+E11/$E$28*30000+F11/$F$28*30000,0)</f>
        <v>19599</v>
      </c>
      <c r="H11" s="67">
        <f aca="true" t="shared" si="3" ref="H11:H26">+D11+G11</f>
        <v>26325</v>
      </c>
      <c r="I11" s="54">
        <f aca="true" t="shared" si="4" ref="I11:I26">ROUND(+H11/$I$37*1000000,2)</f>
        <v>13595727.87</v>
      </c>
      <c r="J11" s="67">
        <f aca="true" t="shared" si="5" ref="J11:J26">+H11</f>
        <v>26325</v>
      </c>
      <c r="K11" s="54">
        <f aca="true" t="shared" si="6" ref="K11:K26">+I11</f>
        <v>13595727.87</v>
      </c>
      <c r="L11" s="67">
        <f aca="true" t="shared" si="7" ref="L11:L26">+H11*2</f>
        <v>52650</v>
      </c>
      <c r="M11" s="54">
        <f aca="true" t="shared" si="8" ref="M11:M26">+I11*2</f>
        <v>27191455.74</v>
      </c>
      <c r="N11" s="10">
        <v>24329</v>
      </c>
      <c r="O11" s="10"/>
      <c r="P11" s="10">
        <f aca="true" t="shared" si="9" ref="P11:P28">+O11-N11</f>
        <v>-24329</v>
      </c>
      <c r="Q11" s="10"/>
      <c r="R11" s="10">
        <v>1365</v>
      </c>
      <c r="T11" s="57"/>
      <c r="U11" s="58"/>
      <c r="V11" s="59"/>
    </row>
    <row r="12" spans="1:22" ht="12.75">
      <c r="A12" s="32" t="s">
        <v>8</v>
      </c>
      <c r="B12" s="43">
        <f t="shared" si="0"/>
        <v>312</v>
      </c>
      <c r="C12" s="9">
        <f t="shared" si="1"/>
        <v>843</v>
      </c>
      <c r="D12" s="44">
        <f aca="true" t="shared" si="10" ref="D12:D26">ROUND(B12/$B$28*70*35000/100+C12/$C$28*30*35000/100,0)</f>
        <v>2179</v>
      </c>
      <c r="E12" s="53">
        <v>123</v>
      </c>
      <c r="F12" s="9">
        <f t="shared" si="2"/>
        <v>843</v>
      </c>
      <c r="G12" s="44">
        <f aca="true" t="shared" si="11" ref="G12:G25">ROUND(+E12/$E$28*30000+F12/$F$28*30000,0)</f>
        <v>3487</v>
      </c>
      <c r="H12" s="67">
        <f t="shared" si="3"/>
        <v>5666</v>
      </c>
      <c r="I12" s="54">
        <f t="shared" si="4"/>
        <v>2926244.79</v>
      </c>
      <c r="J12" s="67">
        <f t="shared" si="5"/>
        <v>5666</v>
      </c>
      <c r="K12" s="54">
        <f t="shared" si="6"/>
        <v>2926244.79</v>
      </c>
      <c r="L12" s="67">
        <f t="shared" si="7"/>
        <v>11332</v>
      </c>
      <c r="M12" s="54">
        <f t="shared" si="8"/>
        <v>5852489.58</v>
      </c>
      <c r="N12" s="10">
        <v>5850</v>
      </c>
      <c r="O12" s="10"/>
      <c r="P12" s="10">
        <f t="shared" si="9"/>
        <v>-5850</v>
      </c>
      <c r="Q12" s="10"/>
      <c r="R12" s="10">
        <v>-48</v>
      </c>
      <c r="T12" s="57"/>
      <c r="U12" s="58"/>
      <c r="V12" s="59"/>
    </row>
    <row r="13" spans="1:22" ht="12.75">
      <c r="A13" s="32" t="s">
        <v>9</v>
      </c>
      <c r="B13" s="43">
        <f t="shared" si="0"/>
        <v>206</v>
      </c>
      <c r="C13" s="9">
        <f t="shared" si="1"/>
        <v>796</v>
      </c>
      <c r="D13" s="44">
        <f t="shared" si="10"/>
        <v>1604</v>
      </c>
      <c r="E13" s="53">
        <v>125</v>
      </c>
      <c r="F13" s="9">
        <f t="shared" si="2"/>
        <v>796</v>
      </c>
      <c r="G13" s="44">
        <f t="shared" si="11"/>
        <v>3424</v>
      </c>
      <c r="H13" s="67">
        <f t="shared" si="3"/>
        <v>5028</v>
      </c>
      <c r="I13" s="54">
        <f t="shared" si="4"/>
        <v>2596745.29</v>
      </c>
      <c r="J13" s="67">
        <f t="shared" si="5"/>
        <v>5028</v>
      </c>
      <c r="K13" s="54">
        <f t="shared" si="6"/>
        <v>2596745.29</v>
      </c>
      <c r="L13" s="67">
        <f t="shared" si="7"/>
        <v>10056</v>
      </c>
      <c r="M13" s="54">
        <f t="shared" si="8"/>
        <v>5193490.58</v>
      </c>
      <c r="N13" s="10">
        <v>5935</v>
      </c>
      <c r="O13" s="10"/>
      <c r="P13" s="10">
        <f t="shared" si="9"/>
        <v>-5935</v>
      </c>
      <c r="Q13" s="10"/>
      <c r="R13" s="10">
        <v>58</v>
      </c>
      <c r="T13" s="57"/>
      <c r="U13" s="58"/>
      <c r="V13" s="59"/>
    </row>
    <row r="14" spans="1:22" ht="12.75">
      <c r="A14" s="32" t="s">
        <v>10</v>
      </c>
      <c r="B14" s="43">
        <f t="shared" si="0"/>
        <v>365</v>
      </c>
      <c r="C14" s="9">
        <f t="shared" si="1"/>
        <v>1331</v>
      </c>
      <c r="D14" s="44">
        <f t="shared" si="10"/>
        <v>2787</v>
      </c>
      <c r="E14" s="53">
        <v>204</v>
      </c>
      <c r="F14" s="9">
        <f t="shared" si="2"/>
        <v>1331</v>
      </c>
      <c r="G14" s="44">
        <f>ROUND(+E14/$E$28*30000+F14/$F$28*30000,0)</f>
        <v>5651</v>
      </c>
      <c r="H14" s="67">
        <f t="shared" si="3"/>
        <v>8438</v>
      </c>
      <c r="I14" s="54">
        <f t="shared" si="4"/>
        <v>4357863.31</v>
      </c>
      <c r="J14" s="67">
        <f t="shared" si="5"/>
        <v>8438</v>
      </c>
      <c r="K14" s="54">
        <f t="shared" si="6"/>
        <v>4357863.31</v>
      </c>
      <c r="L14" s="67">
        <f t="shared" si="7"/>
        <v>16876</v>
      </c>
      <c r="M14" s="54">
        <f t="shared" si="8"/>
        <v>8715726.62</v>
      </c>
      <c r="N14" s="10">
        <v>8429</v>
      </c>
      <c r="O14" s="10"/>
      <c r="P14" s="10">
        <f t="shared" si="9"/>
        <v>-8429</v>
      </c>
      <c r="Q14" s="10"/>
      <c r="R14" s="10">
        <v>-722</v>
      </c>
      <c r="T14" s="57"/>
      <c r="U14" s="58"/>
      <c r="V14" s="59"/>
    </row>
    <row r="15" spans="1:22" ht="12.75">
      <c r="A15" s="32" t="s">
        <v>11</v>
      </c>
      <c r="B15" s="43">
        <f t="shared" si="0"/>
        <v>345</v>
      </c>
      <c r="C15" s="9">
        <f t="shared" si="1"/>
        <v>967</v>
      </c>
      <c r="D15" s="44">
        <f t="shared" si="10"/>
        <v>2434</v>
      </c>
      <c r="E15" s="53">
        <v>129</v>
      </c>
      <c r="F15" s="9">
        <f t="shared" si="2"/>
        <v>967</v>
      </c>
      <c r="G15" s="44">
        <f t="shared" si="11"/>
        <v>3820</v>
      </c>
      <c r="H15" s="67">
        <f t="shared" si="3"/>
        <v>6254</v>
      </c>
      <c r="I15" s="54">
        <f t="shared" si="4"/>
        <v>3229921.45</v>
      </c>
      <c r="J15" s="67">
        <f t="shared" si="5"/>
        <v>6254</v>
      </c>
      <c r="K15" s="54">
        <f t="shared" si="6"/>
        <v>3229921.45</v>
      </c>
      <c r="L15" s="67">
        <f t="shared" si="7"/>
        <v>12508</v>
      </c>
      <c r="M15" s="54">
        <f t="shared" si="8"/>
        <v>6459842.9</v>
      </c>
      <c r="N15" s="10">
        <v>5873</v>
      </c>
      <c r="O15" s="10"/>
      <c r="P15" s="10">
        <f t="shared" si="9"/>
        <v>-5873</v>
      </c>
      <c r="Q15" s="10"/>
      <c r="R15" s="10">
        <v>-219</v>
      </c>
      <c r="T15" s="57"/>
      <c r="U15" s="58"/>
      <c r="V15" s="59"/>
    </row>
    <row r="16" spans="1:22" ht="12.75">
      <c r="A16" s="32" t="s">
        <v>12</v>
      </c>
      <c r="B16" s="43">
        <f t="shared" si="0"/>
        <v>51</v>
      </c>
      <c r="C16" s="9">
        <f t="shared" si="1"/>
        <v>146</v>
      </c>
      <c r="D16" s="44">
        <f t="shared" si="10"/>
        <v>362</v>
      </c>
      <c r="E16" s="53">
        <v>12</v>
      </c>
      <c r="F16" s="9">
        <f t="shared" si="2"/>
        <v>146</v>
      </c>
      <c r="G16" s="44">
        <f t="shared" si="11"/>
        <v>466</v>
      </c>
      <c r="H16" s="67">
        <f t="shared" si="3"/>
        <v>828</v>
      </c>
      <c r="I16" s="54">
        <f t="shared" si="4"/>
        <v>427626.31</v>
      </c>
      <c r="J16" s="67">
        <f t="shared" si="5"/>
        <v>828</v>
      </c>
      <c r="K16" s="54">
        <f t="shared" si="6"/>
        <v>427626.31</v>
      </c>
      <c r="L16" s="67">
        <f t="shared" si="7"/>
        <v>1656</v>
      </c>
      <c r="M16" s="54">
        <f t="shared" si="8"/>
        <v>855252.62</v>
      </c>
      <c r="N16" s="10">
        <v>779</v>
      </c>
      <c r="O16" s="10"/>
      <c r="P16" s="10">
        <f t="shared" si="9"/>
        <v>-779</v>
      </c>
      <c r="Q16" s="10"/>
      <c r="R16" s="10">
        <v>-15</v>
      </c>
      <c r="T16" s="57"/>
      <c r="U16" s="58"/>
      <c r="V16" s="59"/>
    </row>
    <row r="17" spans="1:22" ht="12.75">
      <c r="A17" s="32" t="s">
        <v>13</v>
      </c>
      <c r="B17" s="43">
        <f t="shared" si="0"/>
        <v>139</v>
      </c>
      <c r="C17" s="9">
        <f t="shared" si="1"/>
        <v>283</v>
      </c>
      <c r="D17" s="44">
        <f t="shared" si="10"/>
        <v>907</v>
      </c>
      <c r="E17" s="53">
        <v>35</v>
      </c>
      <c r="F17" s="9">
        <f t="shared" si="2"/>
        <v>283</v>
      </c>
      <c r="G17" s="44">
        <f t="shared" si="11"/>
        <v>1077</v>
      </c>
      <c r="H17" s="67">
        <f t="shared" si="3"/>
        <v>1984</v>
      </c>
      <c r="I17" s="54">
        <f t="shared" si="4"/>
        <v>1024650.49</v>
      </c>
      <c r="J17" s="67">
        <f t="shared" si="5"/>
        <v>1984</v>
      </c>
      <c r="K17" s="54">
        <f t="shared" si="6"/>
        <v>1024650.49</v>
      </c>
      <c r="L17" s="67">
        <f t="shared" si="7"/>
        <v>3968</v>
      </c>
      <c r="M17" s="54">
        <f t="shared" si="8"/>
        <v>2049300.98</v>
      </c>
      <c r="N17" s="10">
        <v>1904</v>
      </c>
      <c r="O17" s="10"/>
      <c r="P17" s="10">
        <f t="shared" si="9"/>
        <v>-1904</v>
      </c>
      <c r="Q17" s="10"/>
      <c r="R17" s="10">
        <v>-236</v>
      </c>
      <c r="T17" s="57"/>
      <c r="U17" s="58"/>
      <c r="V17" s="59"/>
    </row>
    <row r="18" spans="1:22" ht="12.75">
      <c r="A18" s="32" t="s">
        <v>14</v>
      </c>
      <c r="B18" s="43">
        <f t="shared" si="0"/>
        <v>584</v>
      </c>
      <c r="C18" s="9">
        <f t="shared" si="1"/>
        <v>2250</v>
      </c>
      <c r="D18" s="44">
        <f t="shared" si="10"/>
        <v>4542</v>
      </c>
      <c r="E18" s="53">
        <v>275</v>
      </c>
      <c r="F18" s="9">
        <f t="shared" si="2"/>
        <v>2250</v>
      </c>
      <c r="G18" s="44">
        <f>ROUND(+E18/$E$28*30000+F18/$F$28*30000,0)-1</f>
        <v>8513</v>
      </c>
      <c r="H18" s="67">
        <f t="shared" si="3"/>
        <v>13055</v>
      </c>
      <c r="I18" s="54">
        <f t="shared" si="4"/>
        <v>6742344.82</v>
      </c>
      <c r="J18" s="67">
        <f t="shared" si="5"/>
        <v>13055</v>
      </c>
      <c r="K18" s="54">
        <f t="shared" si="6"/>
        <v>6742344.82</v>
      </c>
      <c r="L18" s="67">
        <f t="shared" si="7"/>
        <v>26110</v>
      </c>
      <c r="M18" s="54">
        <f t="shared" si="8"/>
        <v>13484689.64</v>
      </c>
      <c r="N18" s="10">
        <v>12369</v>
      </c>
      <c r="O18" s="10"/>
      <c r="P18" s="10">
        <f t="shared" si="9"/>
        <v>-12369</v>
      </c>
      <c r="Q18" s="10"/>
      <c r="R18" s="10">
        <v>-976</v>
      </c>
      <c r="T18" s="57"/>
      <c r="U18" s="58"/>
      <c r="V18" s="59"/>
    </row>
    <row r="19" spans="1:22" ht="12.75">
      <c r="A19" s="32" t="s">
        <v>15</v>
      </c>
      <c r="B19" s="43">
        <f t="shared" si="0"/>
        <v>120</v>
      </c>
      <c r="C19" s="9">
        <f t="shared" si="1"/>
        <v>153</v>
      </c>
      <c r="D19" s="44">
        <f t="shared" si="10"/>
        <v>720</v>
      </c>
      <c r="E19" s="53">
        <v>15</v>
      </c>
      <c r="F19" s="9">
        <f t="shared" si="2"/>
        <v>153</v>
      </c>
      <c r="G19" s="44">
        <f t="shared" si="11"/>
        <v>524</v>
      </c>
      <c r="H19" s="67">
        <f t="shared" si="3"/>
        <v>1244</v>
      </c>
      <c r="I19" s="54">
        <f t="shared" si="4"/>
        <v>642472.38</v>
      </c>
      <c r="J19" s="67">
        <f t="shared" si="5"/>
        <v>1244</v>
      </c>
      <c r="K19" s="54">
        <f t="shared" si="6"/>
        <v>642472.38</v>
      </c>
      <c r="L19" s="67">
        <f t="shared" si="7"/>
        <v>2488</v>
      </c>
      <c r="M19" s="54">
        <f t="shared" si="8"/>
        <v>1284944.76</v>
      </c>
      <c r="N19" s="10">
        <v>934</v>
      </c>
      <c r="O19" s="10"/>
      <c r="P19" s="10">
        <f t="shared" si="9"/>
        <v>-934</v>
      </c>
      <c r="Q19" s="10"/>
      <c r="R19" s="10">
        <v>87</v>
      </c>
      <c r="T19" s="57"/>
      <c r="U19" s="58"/>
      <c r="V19" s="59"/>
    </row>
    <row r="20" spans="1:22" ht="12.75">
      <c r="A20" s="32" t="s">
        <v>16</v>
      </c>
      <c r="B20" s="43">
        <f t="shared" si="0"/>
        <v>22</v>
      </c>
      <c r="C20" s="9">
        <f t="shared" si="1"/>
        <v>14</v>
      </c>
      <c r="D20" s="44">
        <f t="shared" si="10"/>
        <v>122</v>
      </c>
      <c r="E20" s="53">
        <v>1</v>
      </c>
      <c r="F20" s="9">
        <f t="shared" si="2"/>
        <v>14</v>
      </c>
      <c r="G20" s="44">
        <f>ROUND(+E20/$E$28*30000+F20/$F$28*30000,0)</f>
        <v>42</v>
      </c>
      <c r="H20" s="67">
        <f t="shared" si="3"/>
        <v>164</v>
      </c>
      <c r="I20" s="54">
        <f t="shared" si="4"/>
        <v>84698.93</v>
      </c>
      <c r="J20" s="67">
        <f t="shared" si="5"/>
        <v>164</v>
      </c>
      <c r="K20" s="54">
        <f t="shared" si="6"/>
        <v>84698.93</v>
      </c>
      <c r="L20" s="67">
        <f t="shared" si="7"/>
        <v>328</v>
      </c>
      <c r="M20" s="54">
        <f t="shared" si="8"/>
        <v>169397.86</v>
      </c>
      <c r="N20" s="10">
        <v>586</v>
      </c>
      <c r="O20" s="10"/>
      <c r="P20" s="10">
        <f t="shared" si="9"/>
        <v>-586</v>
      </c>
      <c r="Q20" s="10"/>
      <c r="R20" s="10">
        <v>-38</v>
      </c>
      <c r="T20" s="57"/>
      <c r="U20" s="58"/>
      <c r="V20" s="59"/>
    </row>
    <row r="21" spans="1:22" ht="12.75">
      <c r="A21" s="32" t="s">
        <v>17</v>
      </c>
      <c r="B21" s="43">
        <f t="shared" si="0"/>
        <v>510</v>
      </c>
      <c r="C21" s="9">
        <f t="shared" si="1"/>
        <v>965</v>
      </c>
      <c r="D21" s="44">
        <f>ROUND(B21/$B$28*70*35000/100+C21/$C$28*30*35000/100,0)</f>
        <v>3278</v>
      </c>
      <c r="E21" s="53">
        <v>68</v>
      </c>
      <c r="F21" s="9">
        <f t="shared" si="2"/>
        <v>965</v>
      </c>
      <c r="G21" s="44">
        <f t="shared" si="11"/>
        <v>2909</v>
      </c>
      <c r="H21" s="67">
        <f t="shared" si="3"/>
        <v>6187</v>
      </c>
      <c r="I21" s="54">
        <f t="shared" si="4"/>
        <v>3195318.83</v>
      </c>
      <c r="J21" s="67">
        <f t="shared" si="5"/>
        <v>6187</v>
      </c>
      <c r="K21" s="54">
        <f t="shared" si="6"/>
        <v>3195318.83</v>
      </c>
      <c r="L21" s="67">
        <f t="shared" si="7"/>
        <v>12374</v>
      </c>
      <c r="M21" s="54">
        <f t="shared" si="8"/>
        <v>6390637.66</v>
      </c>
      <c r="N21" s="10">
        <v>6082</v>
      </c>
      <c r="O21" s="10"/>
      <c r="P21" s="10">
        <f t="shared" si="9"/>
        <v>-6082</v>
      </c>
      <c r="Q21" s="10"/>
      <c r="R21" s="10">
        <v>441</v>
      </c>
      <c r="T21" s="57"/>
      <c r="U21" s="58"/>
      <c r="V21" s="59"/>
    </row>
    <row r="22" spans="1:22" ht="12.75">
      <c r="A22" s="32" t="s">
        <v>18</v>
      </c>
      <c r="B22" s="43">
        <f t="shared" si="0"/>
        <v>416</v>
      </c>
      <c r="C22" s="9">
        <f t="shared" si="1"/>
        <v>790</v>
      </c>
      <c r="D22" s="44">
        <f t="shared" si="10"/>
        <v>2676</v>
      </c>
      <c r="E22" s="53">
        <v>57</v>
      </c>
      <c r="F22" s="9">
        <f t="shared" si="2"/>
        <v>790</v>
      </c>
      <c r="G22" s="44">
        <f t="shared" si="11"/>
        <v>2401</v>
      </c>
      <c r="H22" s="67">
        <f t="shared" si="3"/>
        <v>5077</v>
      </c>
      <c r="I22" s="54">
        <f t="shared" si="4"/>
        <v>2622051.68</v>
      </c>
      <c r="J22" s="67">
        <f t="shared" si="5"/>
        <v>5077</v>
      </c>
      <c r="K22" s="54">
        <f t="shared" si="6"/>
        <v>2622051.68</v>
      </c>
      <c r="L22" s="67">
        <f t="shared" si="7"/>
        <v>10154</v>
      </c>
      <c r="M22" s="54">
        <f t="shared" si="8"/>
        <v>5244103.36</v>
      </c>
      <c r="N22" s="10">
        <v>5689</v>
      </c>
      <c r="O22" s="10"/>
      <c r="P22" s="10">
        <f t="shared" si="9"/>
        <v>-5689</v>
      </c>
      <c r="Q22" s="10"/>
      <c r="R22" s="10">
        <v>289</v>
      </c>
      <c r="T22" s="57"/>
      <c r="U22" s="58"/>
      <c r="V22" s="59"/>
    </row>
    <row r="23" spans="1:22" ht="12.75">
      <c r="A23" s="32" t="s">
        <v>19</v>
      </c>
      <c r="B23" s="43">
        <f t="shared" si="0"/>
        <v>99</v>
      </c>
      <c r="C23" s="9">
        <f t="shared" si="1"/>
        <v>50</v>
      </c>
      <c r="D23" s="44">
        <f>ROUND(B23/$B$28*70*35000/100+C23/$C$28*30*35000/100,0)</f>
        <v>542</v>
      </c>
      <c r="E23" s="53">
        <v>4</v>
      </c>
      <c r="F23" s="9">
        <f t="shared" si="2"/>
        <v>50</v>
      </c>
      <c r="G23" s="44">
        <f>ROUND(+E23/$E$28*30000+F23/$F$28*30000,0)</f>
        <v>158</v>
      </c>
      <c r="H23" s="67">
        <f t="shared" si="3"/>
        <v>700</v>
      </c>
      <c r="I23" s="54">
        <f t="shared" si="4"/>
        <v>361519.83</v>
      </c>
      <c r="J23" s="67">
        <f t="shared" si="5"/>
        <v>700</v>
      </c>
      <c r="K23" s="54">
        <f t="shared" si="6"/>
        <v>361519.83</v>
      </c>
      <c r="L23" s="67">
        <f t="shared" si="7"/>
        <v>1400</v>
      </c>
      <c r="M23" s="54">
        <f t="shared" si="8"/>
        <v>723039.66</v>
      </c>
      <c r="N23" s="10">
        <v>704</v>
      </c>
      <c r="O23" s="10"/>
      <c r="P23" s="10">
        <f t="shared" si="9"/>
        <v>-704</v>
      </c>
      <c r="Q23" s="10"/>
      <c r="R23" s="10">
        <v>-24</v>
      </c>
      <c r="T23" s="57"/>
      <c r="U23" s="58"/>
      <c r="V23" s="59"/>
    </row>
    <row r="24" spans="1:22" ht="12.75">
      <c r="A24" s="32" t="s">
        <v>20</v>
      </c>
      <c r="B24" s="43">
        <f t="shared" si="0"/>
        <v>144</v>
      </c>
      <c r="C24" s="9">
        <f t="shared" si="1"/>
        <v>187</v>
      </c>
      <c r="D24" s="44">
        <f t="shared" si="10"/>
        <v>867</v>
      </c>
      <c r="E24" s="53">
        <v>18</v>
      </c>
      <c r="F24" s="9">
        <f t="shared" si="2"/>
        <v>187</v>
      </c>
      <c r="G24" s="44">
        <f t="shared" si="11"/>
        <v>635</v>
      </c>
      <c r="H24" s="67">
        <f t="shared" si="3"/>
        <v>1502</v>
      </c>
      <c r="I24" s="54">
        <f t="shared" si="4"/>
        <v>775718.26</v>
      </c>
      <c r="J24" s="67">
        <f t="shared" si="5"/>
        <v>1502</v>
      </c>
      <c r="K24" s="54">
        <f t="shared" si="6"/>
        <v>775718.26</v>
      </c>
      <c r="L24" s="67">
        <f t="shared" si="7"/>
        <v>3004</v>
      </c>
      <c r="M24" s="54">
        <f t="shared" si="8"/>
        <v>1551436.52</v>
      </c>
      <c r="N24" s="10">
        <v>1519</v>
      </c>
      <c r="O24" s="10"/>
      <c r="P24" s="10">
        <f t="shared" si="9"/>
        <v>-1519</v>
      </c>
      <c r="Q24" s="10"/>
      <c r="R24" s="10">
        <v>-4</v>
      </c>
      <c r="T24" s="57"/>
      <c r="U24" s="58"/>
      <c r="V24" s="59"/>
    </row>
    <row r="25" spans="1:22" ht="12.75">
      <c r="A25" s="32" t="s">
        <v>21</v>
      </c>
      <c r="B25" s="43">
        <f>ROUND(B32*0.575,0)</f>
        <v>308</v>
      </c>
      <c r="C25" s="9">
        <f>ROUND(C32*0.575,0)</f>
        <v>504</v>
      </c>
      <c r="D25" s="44">
        <f>ROUND(B25/$B$28*70*35000/100+C25/$C$28*30*35000/100,0)+1</f>
        <v>1927</v>
      </c>
      <c r="E25" s="43">
        <f>E32*0.575</f>
        <v>43.125</v>
      </c>
      <c r="F25" s="9">
        <f t="shared" si="2"/>
        <v>504</v>
      </c>
      <c r="G25" s="44">
        <f t="shared" si="11"/>
        <v>1632</v>
      </c>
      <c r="H25" s="67">
        <f t="shared" si="3"/>
        <v>3559</v>
      </c>
      <c r="I25" s="54">
        <f t="shared" si="4"/>
        <v>1838070.1</v>
      </c>
      <c r="J25" s="67">
        <f t="shared" si="5"/>
        <v>3559</v>
      </c>
      <c r="K25" s="54">
        <f t="shared" si="6"/>
        <v>1838070.1</v>
      </c>
      <c r="L25" s="67">
        <f t="shared" si="7"/>
        <v>7118</v>
      </c>
      <c r="M25" s="54">
        <f t="shared" si="8"/>
        <v>3676140.2</v>
      </c>
      <c r="N25" s="10">
        <v>4046</v>
      </c>
      <c r="O25" s="10"/>
      <c r="P25" s="10">
        <f t="shared" si="9"/>
        <v>-4046</v>
      </c>
      <c r="Q25" s="10"/>
      <c r="R25" s="10">
        <v>-21</v>
      </c>
      <c r="T25" s="57"/>
      <c r="U25" s="58"/>
      <c r="V25" s="59"/>
    </row>
    <row r="26" spans="1:22" ht="12.75">
      <c r="A26" s="32" t="s">
        <v>22</v>
      </c>
      <c r="B26" s="43">
        <f>ROUND(B33*0.71,0)</f>
        <v>94</v>
      </c>
      <c r="C26" s="9">
        <f>ROUND(C33*0.71,0)</f>
        <v>381</v>
      </c>
      <c r="D26" s="44">
        <f t="shared" si="10"/>
        <v>744</v>
      </c>
      <c r="E26" s="43">
        <f>E33*0.71</f>
        <v>50.41</v>
      </c>
      <c r="F26" s="9">
        <f t="shared" si="2"/>
        <v>381</v>
      </c>
      <c r="G26" s="44">
        <f>ROUND(+E26/$E$28*30000+F26/$F$28*30000,0)+1</f>
        <v>1500</v>
      </c>
      <c r="H26" s="67">
        <f t="shared" si="3"/>
        <v>2244</v>
      </c>
      <c r="I26" s="54">
        <f t="shared" si="4"/>
        <v>1158929.28</v>
      </c>
      <c r="J26" s="67">
        <f t="shared" si="5"/>
        <v>2244</v>
      </c>
      <c r="K26" s="54">
        <f t="shared" si="6"/>
        <v>1158929.28</v>
      </c>
      <c r="L26" s="67">
        <f t="shared" si="7"/>
        <v>4488</v>
      </c>
      <c r="M26" s="54">
        <f t="shared" si="8"/>
        <v>2317858.56</v>
      </c>
      <c r="N26" s="10">
        <v>2338</v>
      </c>
      <c r="O26" s="10"/>
      <c r="P26" s="10">
        <f t="shared" si="9"/>
        <v>-2338</v>
      </c>
      <c r="Q26" s="10"/>
      <c r="R26" s="10">
        <v>421</v>
      </c>
      <c r="T26" s="57"/>
      <c r="U26" s="58"/>
      <c r="V26" s="59"/>
    </row>
    <row r="27" spans="2:21" ht="12.75">
      <c r="B27" s="45"/>
      <c r="C27" s="20"/>
      <c r="D27" s="37"/>
      <c r="E27" s="45"/>
      <c r="F27" s="20"/>
      <c r="G27" s="37"/>
      <c r="H27" s="16"/>
      <c r="I27" s="56"/>
      <c r="J27" s="16"/>
      <c r="K27" s="56"/>
      <c r="L27" s="16"/>
      <c r="M27" s="56"/>
      <c r="N27" s="10"/>
      <c r="O27" s="10"/>
      <c r="P27" s="10"/>
      <c r="Q27" s="10"/>
      <c r="R27" s="10"/>
      <c r="T27" s="57"/>
      <c r="U27" s="58"/>
    </row>
    <row r="28" spans="1:22" ht="11.25" customHeight="1" thickBot="1">
      <c r="A28" s="3" t="s">
        <v>2</v>
      </c>
      <c r="B28" s="46">
        <f>ROUND(SUM(B10:B26),0)</f>
        <v>4779</v>
      </c>
      <c r="C28" s="47">
        <f aca="true" t="shared" si="12" ref="C28:L28">SUM(C10:C26)</f>
        <v>15262</v>
      </c>
      <c r="D28" s="48">
        <f t="shared" si="12"/>
        <v>35000</v>
      </c>
      <c r="E28" s="46">
        <f t="shared" si="12"/>
        <v>2016.535</v>
      </c>
      <c r="F28" s="47">
        <f t="shared" si="12"/>
        <v>15262</v>
      </c>
      <c r="G28" s="48">
        <f t="shared" si="12"/>
        <v>60000</v>
      </c>
      <c r="H28" s="68">
        <f t="shared" si="12"/>
        <v>95000</v>
      </c>
      <c r="I28" s="55">
        <f>SUM(I10:I26)</f>
        <v>49063405.40999999</v>
      </c>
      <c r="J28" s="68">
        <f t="shared" si="12"/>
        <v>95000</v>
      </c>
      <c r="K28" s="55">
        <f>SUM(K10:K26)</f>
        <v>49063405.40999999</v>
      </c>
      <c r="L28" s="68">
        <f t="shared" si="12"/>
        <v>190000</v>
      </c>
      <c r="M28" s="55">
        <f>SUM(M10:M26)</f>
        <v>98126810.82999998</v>
      </c>
      <c r="N28" s="10">
        <f>SUM(N10:N26)</f>
        <v>95000</v>
      </c>
      <c r="O28" s="10">
        <f>SUM(O10:O26)</f>
        <v>0</v>
      </c>
      <c r="P28" s="10">
        <f t="shared" si="9"/>
        <v>-95000</v>
      </c>
      <c r="Q28" s="10">
        <f>+H28-O28</f>
        <v>95000</v>
      </c>
      <c r="R28" s="10">
        <v>0</v>
      </c>
      <c r="T28" s="60"/>
      <c r="U28" s="60"/>
      <c r="V28" s="60"/>
    </row>
    <row r="29" spans="2:13" ht="15" customHeight="1">
      <c r="B29" s="10"/>
      <c r="C29" s="10"/>
      <c r="D29" s="14"/>
      <c r="E29" s="10"/>
      <c r="F29" s="10"/>
      <c r="G29" s="14"/>
      <c r="H29" s="11"/>
      <c r="I29" s="71"/>
      <c r="J29" s="11"/>
      <c r="K29" s="71"/>
      <c r="L29" s="11"/>
      <c r="M29" s="71">
        <f>+L28/1936.27*1000000</f>
        <v>98126810.82700244</v>
      </c>
    </row>
    <row r="30" spans="1:13" ht="12.75">
      <c r="A30" s="3" t="s">
        <v>23</v>
      </c>
      <c r="B30" s="10"/>
      <c r="C30" s="10"/>
      <c r="D30" s="14"/>
      <c r="E30" s="10"/>
      <c r="F30" s="10"/>
      <c r="G30" s="14"/>
      <c r="H30" s="11"/>
      <c r="I30" s="15"/>
      <c r="J30" s="11"/>
      <c r="K30" s="15"/>
      <c r="L30" s="11"/>
      <c r="M30" s="15"/>
    </row>
    <row r="31" spans="1:13" ht="12.75">
      <c r="A31" s="3" t="s">
        <v>28</v>
      </c>
      <c r="B31" s="10"/>
      <c r="C31" s="10"/>
      <c r="D31" s="14"/>
      <c r="E31" s="10"/>
      <c r="F31" s="10"/>
      <c r="G31" s="14"/>
      <c r="H31" s="11"/>
      <c r="I31" s="15"/>
      <c r="J31" s="11"/>
      <c r="K31" s="15"/>
      <c r="L31" s="11"/>
      <c r="M31" s="15"/>
    </row>
    <row r="32" spans="1:6" ht="12.75">
      <c r="A32" s="3" t="s">
        <v>24</v>
      </c>
      <c r="B32" s="8">
        <f>+F57</f>
        <v>535</v>
      </c>
      <c r="C32" s="9">
        <f>+D57</f>
        <v>877</v>
      </c>
      <c r="E32" s="8">
        <v>75</v>
      </c>
      <c r="F32" s="10"/>
    </row>
    <row r="33" spans="1:5" ht="12.75">
      <c r="A33" s="3" t="s">
        <v>25</v>
      </c>
      <c r="B33" s="8">
        <f>+F58</f>
        <v>133</v>
      </c>
      <c r="C33" s="9">
        <f>+D58</f>
        <v>537</v>
      </c>
      <c r="E33" s="8">
        <v>71</v>
      </c>
    </row>
    <row r="35" ht="11.25" customHeight="1"/>
    <row r="36" ht="9.75" customHeight="1" hidden="1"/>
    <row r="37" spans="3:9" ht="1.5" customHeight="1" hidden="1">
      <c r="C37" s="10"/>
      <c r="E37" s="10"/>
      <c r="F37" s="10"/>
      <c r="I37" s="13">
        <v>1936.27</v>
      </c>
    </row>
    <row r="38" spans="3:13" s="18" customFormat="1" ht="12.75" hidden="1">
      <c r="C38" s="23" t="s">
        <v>30</v>
      </c>
      <c r="D38" s="23" t="s">
        <v>30</v>
      </c>
      <c r="E38" s="23" t="s">
        <v>33</v>
      </c>
      <c r="F38" s="25" t="s">
        <v>32</v>
      </c>
      <c r="G38" s="23" t="s">
        <v>32</v>
      </c>
      <c r="H38" s="24"/>
      <c r="I38" s="24"/>
      <c r="J38" s="24"/>
      <c r="K38" s="24"/>
      <c r="L38" s="24"/>
      <c r="M38" s="24"/>
    </row>
    <row r="39" spans="3:7" ht="12.75" hidden="1">
      <c r="C39" s="18" t="s">
        <v>35</v>
      </c>
      <c r="D39" s="18" t="s">
        <v>37</v>
      </c>
      <c r="E39" s="18" t="s">
        <v>31</v>
      </c>
      <c r="F39" s="26" t="s">
        <v>31</v>
      </c>
      <c r="G39" s="18" t="s">
        <v>34</v>
      </c>
    </row>
    <row r="40" spans="4:6" ht="12.75" hidden="1">
      <c r="D40" s="3"/>
      <c r="E40" s="18"/>
      <c r="F40" s="27"/>
    </row>
    <row r="41" spans="4:7" ht="11.25" customHeight="1" hidden="1">
      <c r="D41" s="3"/>
      <c r="E41" s="18"/>
      <c r="F41" s="27"/>
      <c r="G41" s="3"/>
    </row>
    <row r="42" spans="1:7" ht="12.75" hidden="1">
      <c r="A42" s="8" t="s">
        <v>6</v>
      </c>
      <c r="C42" s="10">
        <v>909</v>
      </c>
      <c r="D42" s="10">
        <v>982</v>
      </c>
      <c r="E42" s="3">
        <v>349</v>
      </c>
      <c r="F42" s="28">
        <v>372</v>
      </c>
      <c r="G42" s="3">
        <v>334</v>
      </c>
    </row>
    <row r="43" spans="1:7" ht="12.75" hidden="1">
      <c r="A43" s="8" t="s">
        <v>7</v>
      </c>
      <c r="C43" s="10">
        <v>4213</v>
      </c>
      <c r="D43" s="10">
        <v>4620</v>
      </c>
      <c r="E43" s="3">
        <v>705</v>
      </c>
      <c r="F43" s="28">
        <v>692</v>
      </c>
      <c r="G43" s="3">
        <v>625</v>
      </c>
    </row>
    <row r="44" spans="1:7" ht="12.75" hidden="1">
      <c r="A44" s="8" t="s">
        <v>8</v>
      </c>
      <c r="C44" s="10">
        <v>780</v>
      </c>
      <c r="D44" s="10">
        <v>843</v>
      </c>
      <c r="E44" s="3">
        <v>320</v>
      </c>
      <c r="F44" s="28">
        <v>312</v>
      </c>
      <c r="G44" s="3">
        <v>298</v>
      </c>
    </row>
    <row r="45" spans="1:7" ht="12.75" hidden="1">
      <c r="A45" s="8" t="s">
        <v>9</v>
      </c>
      <c r="C45" s="10">
        <v>745</v>
      </c>
      <c r="D45" s="10">
        <v>796</v>
      </c>
      <c r="E45" s="3">
        <v>196</v>
      </c>
      <c r="F45" s="28">
        <v>206</v>
      </c>
      <c r="G45" s="3">
        <v>202</v>
      </c>
    </row>
    <row r="46" spans="1:7" ht="12.75" hidden="1">
      <c r="A46" s="8" t="s">
        <v>10</v>
      </c>
      <c r="C46" s="10">
        <v>1219</v>
      </c>
      <c r="D46" s="10">
        <v>1331</v>
      </c>
      <c r="E46" s="3">
        <v>397</v>
      </c>
      <c r="F46" s="28">
        <v>365</v>
      </c>
      <c r="G46" s="3">
        <v>448</v>
      </c>
    </row>
    <row r="47" spans="1:7" ht="12.75" hidden="1">
      <c r="A47" s="8" t="s">
        <v>11</v>
      </c>
      <c r="C47" s="10">
        <v>871</v>
      </c>
      <c r="D47" s="10">
        <v>967</v>
      </c>
      <c r="E47" s="3">
        <v>335</v>
      </c>
      <c r="F47" s="28">
        <v>345</v>
      </c>
      <c r="G47" s="3">
        <v>335</v>
      </c>
    </row>
    <row r="48" spans="1:7" ht="12.75" hidden="1">
      <c r="A48" s="8" t="s">
        <v>12</v>
      </c>
      <c r="C48" s="10">
        <v>137</v>
      </c>
      <c r="D48" s="10">
        <v>146</v>
      </c>
      <c r="E48" s="3">
        <v>58</v>
      </c>
      <c r="F48" s="28">
        <v>51</v>
      </c>
      <c r="G48" s="3">
        <v>50</v>
      </c>
    </row>
    <row r="49" spans="1:7" ht="12.75" hidden="1">
      <c r="A49" s="8" t="s">
        <v>13</v>
      </c>
      <c r="C49" s="10">
        <v>250</v>
      </c>
      <c r="D49" s="10">
        <v>283</v>
      </c>
      <c r="E49" s="3">
        <v>135</v>
      </c>
      <c r="F49" s="28">
        <v>139</v>
      </c>
      <c r="G49" s="3">
        <v>113</v>
      </c>
    </row>
    <row r="50" spans="1:7" ht="12.75" hidden="1">
      <c r="A50" s="8" t="s">
        <v>14</v>
      </c>
      <c r="C50" s="10">
        <v>2038</v>
      </c>
      <c r="D50" s="10">
        <v>2250</v>
      </c>
      <c r="E50" s="3">
        <v>608</v>
      </c>
      <c r="F50" s="28">
        <v>584</v>
      </c>
      <c r="G50" s="3">
        <v>582</v>
      </c>
    </row>
    <row r="51" spans="1:7" ht="12.75" hidden="1">
      <c r="A51" s="8" t="s">
        <v>15</v>
      </c>
      <c r="C51" s="10">
        <v>132</v>
      </c>
      <c r="D51" s="10">
        <v>153</v>
      </c>
      <c r="E51" s="3">
        <v>133</v>
      </c>
      <c r="F51" s="28">
        <v>120</v>
      </c>
      <c r="G51" s="3">
        <v>119</v>
      </c>
    </row>
    <row r="52" spans="1:7" ht="12.75" hidden="1">
      <c r="A52" s="8" t="s">
        <v>16</v>
      </c>
      <c r="C52" s="10">
        <v>11</v>
      </c>
      <c r="D52" s="10">
        <v>14</v>
      </c>
      <c r="E52" s="3">
        <v>22</v>
      </c>
      <c r="F52" s="28">
        <v>22</v>
      </c>
      <c r="G52" s="3">
        <v>22</v>
      </c>
    </row>
    <row r="53" spans="1:7" ht="12.75" hidden="1">
      <c r="A53" s="8" t="s">
        <v>17</v>
      </c>
      <c r="C53" s="10">
        <v>869</v>
      </c>
      <c r="D53" s="10">
        <v>965</v>
      </c>
      <c r="E53" s="3">
        <v>624</v>
      </c>
      <c r="F53" s="28">
        <v>510</v>
      </c>
      <c r="G53" s="3">
        <v>507</v>
      </c>
    </row>
    <row r="54" spans="1:7" ht="12.75" hidden="1">
      <c r="A54" s="8" t="s">
        <v>18</v>
      </c>
      <c r="C54" s="10">
        <v>706</v>
      </c>
      <c r="D54" s="10">
        <v>790</v>
      </c>
      <c r="E54" s="3">
        <v>430</v>
      </c>
      <c r="F54" s="28">
        <v>416</v>
      </c>
      <c r="G54" s="3">
        <v>402</v>
      </c>
    </row>
    <row r="55" spans="1:7" ht="12.75" hidden="1">
      <c r="A55" s="8" t="s">
        <v>19</v>
      </c>
      <c r="C55" s="10">
        <v>46</v>
      </c>
      <c r="D55" s="10">
        <v>50</v>
      </c>
      <c r="E55" s="3">
        <v>99</v>
      </c>
      <c r="F55" s="28">
        <v>99</v>
      </c>
      <c r="G55" s="3">
        <v>99</v>
      </c>
    </row>
    <row r="56" spans="1:7" ht="12.75" hidden="1">
      <c r="A56" s="8" t="s">
        <v>20</v>
      </c>
      <c r="C56" s="10">
        <v>172</v>
      </c>
      <c r="D56" s="10">
        <v>187</v>
      </c>
      <c r="E56" s="3">
        <v>144</v>
      </c>
      <c r="F56" s="28">
        <v>144</v>
      </c>
      <c r="G56" s="10">
        <v>143</v>
      </c>
    </row>
    <row r="57" spans="1:7" ht="12.75" hidden="1">
      <c r="A57" s="8" t="s">
        <v>21</v>
      </c>
      <c r="C57" s="10">
        <v>769</v>
      </c>
      <c r="D57" s="10">
        <v>877</v>
      </c>
      <c r="E57" s="3">
        <v>569</v>
      </c>
      <c r="F57" s="28">
        <v>535</v>
      </c>
      <c r="G57" s="3">
        <v>542</v>
      </c>
    </row>
    <row r="58" spans="1:7" ht="12.75" hidden="1">
      <c r="A58" s="8" t="s">
        <v>22</v>
      </c>
      <c r="C58" s="10">
        <v>495</v>
      </c>
      <c r="D58" s="10">
        <v>537</v>
      </c>
      <c r="E58" s="3">
        <v>111</v>
      </c>
      <c r="F58" s="28">
        <v>133</v>
      </c>
      <c r="G58" s="10">
        <v>141</v>
      </c>
    </row>
    <row r="59" spans="3:6" ht="12.75" hidden="1">
      <c r="C59" s="10"/>
      <c r="D59" s="10"/>
      <c r="F59" s="27"/>
    </row>
    <row r="60" spans="3:7" ht="13.5" hidden="1" thickBot="1">
      <c r="C60" s="10">
        <f>SUM(C42:C59)</f>
        <v>14362</v>
      </c>
      <c r="D60" s="10">
        <f>SUM(D42:D59)</f>
        <v>15791</v>
      </c>
      <c r="E60" s="10">
        <f>SUM(E42:E59)</f>
        <v>5235</v>
      </c>
      <c r="F60" s="30">
        <f>SUM(F42:F59)</f>
        <v>5045</v>
      </c>
      <c r="G60" s="10">
        <f>SUM(G42:G59)</f>
        <v>4962</v>
      </c>
    </row>
    <row r="61" ht="12.75">
      <c r="C61" s="10"/>
    </row>
    <row r="62" ht="12.75">
      <c r="C62" s="10"/>
    </row>
    <row r="63" ht="12.75">
      <c r="C63" s="10"/>
    </row>
    <row r="64" ht="12.75">
      <c r="C64" s="10"/>
    </row>
    <row r="65" ht="12.75">
      <c r="C65" s="10"/>
    </row>
    <row r="66" ht="12.75">
      <c r="C66" s="10"/>
    </row>
    <row r="67" ht="12.75">
      <c r="C67" s="10"/>
    </row>
    <row r="68" ht="12.75">
      <c r="C68" s="10"/>
    </row>
    <row r="69" ht="12.75">
      <c r="C69" s="10"/>
    </row>
    <row r="70" ht="12.75">
      <c r="C70" s="10"/>
    </row>
    <row r="71" ht="12.75">
      <c r="C71" s="10"/>
    </row>
    <row r="72" ht="12.75">
      <c r="C72" s="10"/>
    </row>
    <row r="73" ht="12.75">
      <c r="C73" s="10"/>
    </row>
    <row r="74" ht="12.75">
      <c r="C74" s="10"/>
    </row>
    <row r="75" ht="12.75">
      <c r="C75" s="10"/>
    </row>
    <row r="76" ht="12.75">
      <c r="C76" s="10"/>
    </row>
    <row r="77" ht="12.75">
      <c r="C77" s="10"/>
    </row>
    <row r="78" ht="12.75">
      <c r="C78" s="10"/>
    </row>
    <row r="79" ht="12.75">
      <c r="C79" s="10"/>
    </row>
    <row r="80" ht="12.75">
      <c r="C80" s="10"/>
    </row>
    <row r="81" ht="12.75">
      <c r="C81" s="10"/>
    </row>
    <row r="82" ht="12.75">
      <c r="C82" s="10"/>
    </row>
    <row r="83" ht="12.75">
      <c r="C83" s="10"/>
    </row>
    <row r="84" ht="12.75">
      <c r="C84" s="10"/>
    </row>
    <row r="85" ht="12.75">
      <c r="C85" s="10"/>
    </row>
    <row r="86" ht="12.75">
      <c r="C86" s="10"/>
    </row>
    <row r="87" ht="12.75">
      <c r="C87" s="10"/>
    </row>
    <row r="88" ht="12.75">
      <c r="C88" s="10"/>
    </row>
    <row r="89" ht="12.75">
      <c r="C89" s="10"/>
    </row>
  </sheetData>
  <printOptions/>
  <pageMargins left="0.71" right="0" top="0.78" bottom="0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FINSIEL</dc:creator>
  <cp:keywords/>
  <dc:description/>
  <cp:lastModifiedBy>SBANFI</cp:lastModifiedBy>
  <cp:lastPrinted>2002-02-22T14:24:51Z</cp:lastPrinted>
  <dcterms:created xsi:type="dcterms:W3CDTF">2000-11-07T14:15:16Z</dcterms:created>
  <dcterms:modified xsi:type="dcterms:W3CDTF">2002-02-22T14:24:58Z</dcterms:modified>
  <cp:category/>
  <cp:version/>
  <cp:contentType/>
  <cp:contentStatus/>
</cp:coreProperties>
</file>