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56" yWindow="45" windowWidth="9720" windowHeight="6030" activeTab="0"/>
  </bookViews>
  <sheets>
    <sheet name="Mg2001Cong" sheetId="1" r:id="rId1"/>
  </sheets>
  <externalReferences>
    <externalReference r:id="rId4"/>
    <externalReference r:id="rId5"/>
  </externalReferences>
  <definedNames>
    <definedName name="_xlnm.Print_Area" localSheetId="0">'Mg2001Cong'!$A$1:$L$41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<sst xmlns="http://schemas.openxmlformats.org/spreadsheetml/2006/main" count="77" uniqueCount="70">
  <si>
    <t>a</t>
  </si>
  <si>
    <t>b</t>
  </si>
  <si>
    <t>c</t>
  </si>
  <si>
    <t>d</t>
  </si>
  <si>
    <t>e</t>
  </si>
  <si>
    <t>finanz.</t>
  </si>
  <si>
    <t>totale</t>
  </si>
  <si>
    <t>bando</t>
  </si>
  <si>
    <t>borse</t>
  </si>
  <si>
    <t xml:space="preserve">spese org. </t>
  </si>
  <si>
    <t>PIEMONTE</t>
  </si>
  <si>
    <t>LOMBARDIA</t>
  </si>
  <si>
    <t>VENETO</t>
  </si>
  <si>
    <t>LIGURIA</t>
  </si>
  <si>
    <t>EMILIA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</si>
  <si>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</si>
  <si>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</si>
  <si>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</si>
  <si>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</si>
  <si>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</si>
  <si>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</si>
  <si>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</si>
  <si>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</si>
  <si>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</si>
  <si>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</si>
  <si>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TOTALI</t>
  </si>
  <si>
    <t>f=b-e</t>
  </si>
  <si>
    <t>euro</t>
  </si>
  <si>
    <t xml:space="preserve">Sicilia: </t>
  </si>
  <si>
    <t>Sardegna:</t>
  </si>
  <si>
    <t>SICILIA</t>
  </si>
  <si>
    <t>SARDEGNA</t>
  </si>
  <si>
    <t>Le percentuali di riduzione sono pari, rispettivamente, a 42,5% e 29%, mentre i dati originari ammontano, rispettivamente, a:</t>
  </si>
  <si>
    <t>Per Sicilia e Sardegna sono state effettuate le ritenute di legge sul parametro N° Borse di studio da bando di concorso.</t>
  </si>
  <si>
    <t>lire</t>
  </si>
  <si>
    <t>Importo borsa</t>
  </si>
  <si>
    <t>Irap</t>
  </si>
  <si>
    <t>n° Tirocin.</t>
  </si>
  <si>
    <t>g=c+f (se f&gt;0)</t>
  </si>
  <si>
    <t>Al lordo dei recuperi su borse</t>
  </si>
  <si>
    <t>2^ annualita' biennio 2000 - 2002</t>
  </si>
  <si>
    <t>Ripartizione quota FSN 2001 per finanziamento corso di formazione medicina generale</t>
  </si>
  <si>
    <t>Finanziamento Organizzazione</t>
  </si>
  <si>
    <t>residui</t>
  </si>
  <si>
    <t xml:space="preserve">            Recuperi su borse</t>
  </si>
  <si>
    <t>finanz. borse</t>
  </si>
  <si>
    <t>al netto dei</t>
  </si>
  <si>
    <t>Assegnazioni</t>
  </si>
  <si>
    <t>recuperare con</t>
  </si>
  <si>
    <t>successiva</t>
  </si>
  <si>
    <t>delibera</t>
  </si>
  <si>
    <t>TOTALE</t>
  </si>
  <si>
    <t>g</t>
  </si>
  <si>
    <t>g=c (se f&lt;0)</t>
  </si>
  <si>
    <t>organizzazione</t>
  </si>
  <si>
    <t>totale residui</t>
  </si>
  <si>
    <t xml:space="preserve">per borse e </t>
  </si>
  <si>
    <t>solo</t>
  </si>
  <si>
    <t>per</t>
  </si>
  <si>
    <t xml:space="preserve">per </t>
  </si>
  <si>
    <t>spese di</t>
  </si>
  <si>
    <t>FINANZIAMENTO TOT.</t>
  </si>
  <si>
    <t>- Importo borsa con Irap</t>
  </si>
  <si>
    <t>- Procapite spese di organizzazione</t>
  </si>
  <si>
    <t>pari a euro</t>
  </si>
  <si>
    <t>h=f (se f&lt;0)</t>
  </si>
  <si>
    <t>mil lire</t>
  </si>
  <si>
    <t>(Importi in euro)</t>
  </si>
  <si>
    <t>Residui da</t>
  </si>
  <si>
    <t>Regioni</t>
  </si>
</sst>
</file>

<file path=xl/styles.xml><?xml version="1.0" encoding="utf-8"?>
<styleSheet xmlns="http://schemas.openxmlformats.org/spreadsheetml/2006/main">
  <numFmts count="1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#,##0.0"/>
    <numFmt numFmtId="165" formatCode="0.0"/>
    <numFmt numFmtId="166" formatCode="_-* #,##0.0_-;\-* #,##0.0_-;_-* &quot;-&quot;_-;_-@_-"/>
    <numFmt numFmtId="167" formatCode="_-* #,##0.00_-;\-* #,##0.00_-;_-* &quot;-&quot;_-;_-@_-"/>
    <numFmt numFmtId="168" formatCode="_-* #,##0.000_-;\-* #,##0.000_-;_-* &quot;-&quot;_-;_-@_-"/>
    <numFmt numFmtId="169" formatCode="0.0%"/>
    <numFmt numFmtId="170" formatCode="_-* #,##0.0000_-;\-* #,##0.0000_-;_-* &quot;-&quot;_-;_-@_-"/>
    <numFmt numFmtId="171" formatCode="_-* #,##0.00000_-;\-* #,##0.00000_-;_-* &quot;-&quot;_-;_-@_-"/>
    <numFmt numFmtId="172" formatCode="dd\-mmm\-yy_)"/>
    <numFmt numFmtId="173" formatCode="#,##0.00\ \ "/>
  </numFmts>
  <fonts count="4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41" fontId="3" fillId="0" borderId="0" xfId="16" applyFont="1" applyBorder="1" applyAlignment="1">
      <alignment/>
    </xf>
    <xf numFmtId="41" fontId="3" fillId="0" borderId="1" xfId="16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41" fontId="3" fillId="0" borderId="4" xfId="16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41" fontId="3" fillId="0" borderId="7" xfId="16" applyFont="1" applyBorder="1" applyAlignment="1">
      <alignment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/>
    </xf>
    <xf numFmtId="3" fontId="3" fillId="0" borderId="2" xfId="0" applyNumberFormat="1" applyFont="1" applyBorder="1" applyAlignment="1">
      <alignment/>
    </xf>
    <xf numFmtId="41" fontId="3" fillId="0" borderId="0" xfId="16" applyFont="1" applyAlignment="1">
      <alignment/>
    </xf>
    <xf numFmtId="166" fontId="3" fillId="0" borderId="0" xfId="16" applyNumberFormat="1" applyFont="1" applyBorder="1" applyAlignment="1">
      <alignment horizontal="left"/>
    </xf>
    <xf numFmtId="167" fontId="3" fillId="0" borderId="0" xfId="16" applyNumberFormat="1" applyFont="1" applyBorder="1" applyAlignment="1">
      <alignment/>
    </xf>
    <xf numFmtId="0" fontId="3" fillId="0" borderId="0" xfId="0" applyFont="1" applyAlignment="1" quotePrefix="1">
      <alignment/>
    </xf>
    <xf numFmtId="3" fontId="3" fillId="0" borderId="0" xfId="0" applyNumberFormat="1" applyFont="1" applyBorder="1" applyAlignment="1">
      <alignment/>
    </xf>
    <xf numFmtId="41" fontId="3" fillId="0" borderId="0" xfId="16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169" fontId="3" fillId="0" borderId="0" xfId="17" applyNumberFormat="1" applyFont="1" applyAlignment="1">
      <alignment/>
    </xf>
    <xf numFmtId="41" fontId="3" fillId="0" borderId="0" xfId="16" applyNumberFormat="1" applyFont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172" fontId="1" fillId="0" borderId="0" xfId="0" applyNumberFormat="1" applyFont="1" applyFill="1" applyAlignment="1" applyProtection="1">
      <alignment/>
      <protection/>
    </xf>
    <xf numFmtId="0" fontId="3" fillId="0" borderId="9" xfId="0" applyFont="1" applyBorder="1" applyAlignment="1">
      <alignment horizontal="center"/>
    </xf>
    <xf numFmtId="41" fontId="3" fillId="0" borderId="12" xfId="16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4" fontId="3" fillId="0" borderId="0" xfId="0" applyNumberFormat="1" applyFont="1" applyBorder="1" applyAlignment="1">
      <alignment/>
    </xf>
    <xf numFmtId="0" fontId="3" fillId="0" borderId="0" xfId="0" applyFont="1" applyBorder="1" applyAlignment="1" quotePrefix="1">
      <alignment horizontal="left"/>
    </xf>
    <xf numFmtId="41" fontId="2" fillId="0" borderId="10" xfId="16" applyFont="1" applyBorder="1" applyAlignment="1">
      <alignment/>
    </xf>
    <xf numFmtId="41" fontId="2" fillId="0" borderId="16" xfId="16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41" fontId="3" fillId="0" borderId="10" xfId="16" applyFont="1" applyBorder="1" applyAlignment="1">
      <alignment/>
    </xf>
    <xf numFmtId="41" fontId="3" fillId="0" borderId="20" xfId="16" applyFont="1" applyBorder="1" applyAlignment="1">
      <alignment/>
    </xf>
    <xf numFmtId="41" fontId="3" fillId="0" borderId="21" xfId="16" applyFont="1" applyBorder="1" applyAlignment="1">
      <alignment horizontal="center"/>
    </xf>
    <xf numFmtId="41" fontId="3" fillId="0" borderId="22" xfId="16" applyFont="1" applyBorder="1" applyAlignment="1">
      <alignment/>
    </xf>
    <xf numFmtId="41" fontId="3" fillId="0" borderId="23" xfId="16" applyFont="1" applyBorder="1" applyAlignment="1">
      <alignment horizontal="center"/>
    </xf>
    <xf numFmtId="0" fontId="2" fillId="0" borderId="2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5" xfId="0" applyFont="1" applyBorder="1" applyAlignment="1">
      <alignment horizontal="center"/>
    </xf>
    <xf numFmtId="0" fontId="2" fillId="0" borderId="8" xfId="0" applyFont="1" applyBorder="1" applyAlignment="1">
      <alignment/>
    </xf>
    <xf numFmtId="3" fontId="3" fillId="0" borderId="25" xfId="0" applyNumberFormat="1" applyFont="1" applyBorder="1" applyAlignment="1">
      <alignment/>
    </xf>
    <xf numFmtId="0" fontId="3" fillId="0" borderId="2" xfId="0" applyFont="1" applyBorder="1" applyAlignment="1">
      <alignment/>
    </xf>
    <xf numFmtId="41" fontId="3" fillId="0" borderId="2" xfId="16" applyFont="1" applyBorder="1" applyAlignment="1">
      <alignment/>
    </xf>
    <xf numFmtId="4" fontId="3" fillId="0" borderId="2" xfId="0" applyNumberFormat="1" applyFont="1" applyBorder="1" applyAlignment="1">
      <alignment/>
    </xf>
    <xf numFmtId="4" fontId="2" fillId="0" borderId="2" xfId="0" applyNumberFormat="1" applyFont="1" applyBorder="1" applyAlignment="1">
      <alignment/>
    </xf>
    <xf numFmtId="4" fontId="2" fillId="0" borderId="2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41" fontId="3" fillId="0" borderId="2" xfId="16" applyFont="1" applyBorder="1" applyAlignment="1">
      <alignment horizontal="right" vertical="center"/>
    </xf>
    <xf numFmtId="4" fontId="3" fillId="0" borderId="2" xfId="0" applyNumberFormat="1" applyFont="1" applyBorder="1" applyAlignment="1">
      <alignment horizontal="right" vertical="center"/>
    </xf>
    <xf numFmtId="0" fontId="3" fillId="0" borderId="26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4" fontId="2" fillId="0" borderId="8" xfId="0" applyNumberFormat="1" applyFont="1" applyBorder="1" applyAlignment="1">
      <alignment/>
    </xf>
    <xf numFmtId="0" fontId="2" fillId="0" borderId="8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g2000-1^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MgRiepilogoRecuper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g2000-1^"/>
    </sheetNames>
    <sheetDataSet>
      <sheetData sheetId="0">
        <row r="11">
          <cell r="B11">
            <v>50</v>
          </cell>
        </row>
        <row r="13">
          <cell r="B13">
            <v>150</v>
          </cell>
        </row>
        <row r="16">
          <cell r="B16">
            <v>160</v>
          </cell>
        </row>
        <row r="18">
          <cell r="B18">
            <v>80</v>
          </cell>
        </row>
        <row r="19">
          <cell r="B19">
            <v>80</v>
          </cell>
        </row>
        <row r="20">
          <cell r="B20">
            <v>130</v>
          </cell>
        </row>
        <row r="21">
          <cell r="B21">
            <v>80</v>
          </cell>
        </row>
        <row r="22">
          <cell r="B22">
            <v>60</v>
          </cell>
        </row>
        <row r="23">
          <cell r="B23">
            <v>180</v>
          </cell>
        </row>
        <row r="24">
          <cell r="B24">
            <v>19</v>
          </cell>
        </row>
        <row r="25">
          <cell r="B25">
            <v>30</v>
          </cell>
        </row>
        <row r="26">
          <cell r="B26">
            <v>120</v>
          </cell>
        </row>
        <row r="27">
          <cell r="B27">
            <v>150</v>
          </cell>
        </row>
        <row r="28">
          <cell r="B28">
            <v>50</v>
          </cell>
        </row>
        <row r="29">
          <cell r="B29">
            <v>283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iepilogoRecuperi"/>
    </sheetNames>
    <sheetDataSet>
      <sheetData sheetId="0">
        <row r="11">
          <cell r="K11">
            <v>2155777.73</v>
          </cell>
        </row>
        <row r="13">
          <cell r="K13">
            <v>5712245.64</v>
          </cell>
        </row>
        <row r="16">
          <cell r="K16">
            <v>3987726.01</v>
          </cell>
        </row>
        <row r="18">
          <cell r="K18">
            <v>1133295.67</v>
          </cell>
        </row>
        <row r="19">
          <cell r="K19">
            <v>1490016.01</v>
          </cell>
        </row>
        <row r="20">
          <cell r="K20">
            <v>937409.56</v>
          </cell>
        </row>
        <row r="21">
          <cell r="K21">
            <v>432915.73</v>
          </cell>
        </row>
        <row r="22">
          <cell r="K22">
            <v>677904.3</v>
          </cell>
        </row>
        <row r="23">
          <cell r="K23">
            <v>5331124.15</v>
          </cell>
        </row>
        <row r="24">
          <cell r="K24">
            <v>1168220.5</v>
          </cell>
        </row>
        <row r="25">
          <cell r="K25">
            <v>173427.71</v>
          </cell>
        </row>
        <row r="26">
          <cell r="K26">
            <v>414929.87</v>
          </cell>
        </row>
        <row r="27">
          <cell r="K27">
            <v>1479276.03</v>
          </cell>
        </row>
        <row r="28">
          <cell r="K28">
            <v>853077.67</v>
          </cell>
        </row>
        <row r="29">
          <cell r="K29">
            <v>-4146.55</v>
          </cell>
        </row>
        <row r="30">
          <cell r="K30">
            <v>0</v>
          </cell>
        </row>
        <row r="31">
          <cell r="K31">
            <v>1822793.07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"/>
  <sheetViews>
    <sheetView showGridLines="0" tabSelected="1" zoomScale="75" zoomScaleNormal="75" workbookViewId="0" topLeftCell="D1">
      <selection activeCell="N10" sqref="N10"/>
    </sheetView>
  </sheetViews>
  <sheetFormatPr defaultColWidth="9.140625" defaultRowHeight="12.75"/>
  <cols>
    <col min="1" max="1" width="26.57421875" style="2" customWidth="1"/>
    <col min="2" max="2" width="12.140625" style="15" bestFit="1" customWidth="1"/>
    <col min="3" max="3" width="17.421875" style="2" customWidth="1"/>
    <col min="4" max="4" width="16.57421875" style="2" bestFit="1" customWidth="1"/>
    <col min="5" max="5" width="16.28125" style="2" bestFit="1" customWidth="1"/>
    <col min="6" max="6" width="16.421875" style="15" customWidth="1"/>
    <col min="7" max="7" width="15.8515625" style="2" customWidth="1"/>
    <col min="8" max="8" width="16.28125" style="2" bestFit="1" customWidth="1"/>
    <col min="9" max="9" width="16.28125" style="2" customWidth="1"/>
    <col min="10" max="10" width="20.8515625" style="2" customWidth="1"/>
    <col min="11" max="11" width="20.00390625" style="2" customWidth="1"/>
    <col min="12" max="12" width="0.13671875" style="2" hidden="1" customWidth="1"/>
    <col min="13" max="13" width="16.57421875" style="2" customWidth="1"/>
    <col min="14" max="16384" width="9.140625" style="2" customWidth="1"/>
  </cols>
  <sheetData>
    <row r="1" spans="2:10" ht="15.75">
      <c r="B1" s="4"/>
      <c r="C1" s="3"/>
      <c r="D1" s="3"/>
      <c r="E1" s="3"/>
      <c r="F1" s="42" t="s">
        <v>41</v>
      </c>
      <c r="G1" s="3"/>
      <c r="H1" s="3"/>
      <c r="I1" s="3"/>
      <c r="J1" s="3"/>
    </row>
    <row r="2" spans="2:10" ht="15.75">
      <c r="B2" s="4"/>
      <c r="C2" s="3"/>
      <c r="D2" s="3"/>
      <c r="E2" s="3"/>
      <c r="F2" s="42" t="s">
        <v>40</v>
      </c>
      <c r="G2" s="3"/>
      <c r="H2" s="37"/>
      <c r="I2" s="3"/>
      <c r="J2" s="3"/>
    </row>
    <row r="3" spans="1:10" ht="16.5" thickBot="1">
      <c r="A3" s="27"/>
      <c r="B3" s="4"/>
      <c r="C3" s="3"/>
      <c r="D3" s="3"/>
      <c r="E3" s="3"/>
      <c r="F3" s="4"/>
      <c r="G3" s="3"/>
      <c r="H3" s="3"/>
      <c r="I3" s="3"/>
      <c r="J3" s="3" t="s">
        <v>67</v>
      </c>
    </row>
    <row r="4" spans="1:11" ht="16.5" thickBot="1">
      <c r="A4" s="49"/>
      <c r="B4" s="44"/>
      <c r="C4" s="39" t="s">
        <v>39</v>
      </c>
      <c r="D4" s="25"/>
      <c r="E4" s="26"/>
      <c r="F4" s="40" t="s">
        <v>44</v>
      </c>
      <c r="G4" s="25"/>
      <c r="H4" s="33"/>
      <c r="I4" s="41" t="s">
        <v>47</v>
      </c>
      <c r="J4" s="66"/>
      <c r="K4" s="3"/>
    </row>
    <row r="5" spans="1:11" ht="15.75">
      <c r="A5" s="50"/>
      <c r="B5" s="45"/>
      <c r="C5" s="30"/>
      <c r="D5" s="30"/>
      <c r="E5" s="31"/>
      <c r="F5" s="29"/>
      <c r="G5" s="31"/>
      <c r="H5" s="32" t="s">
        <v>57</v>
      </c>
      <c r="I5" s="34" t="s">
        <v>56</v>
      </c>
      <c r="J5" s="49"/>
      <c r="K5" s="62" t="s">
        <v>68</v>
      </c>
    </row>
    <row r="6" spans="1:11" ht="15.75">
      <c r="A6" s="51" t="s">
        <v>69</v>
      </c>
      <c r="B6" s="46" t="s">
        <v>37</v>
      </c>
      <c r="C6" s="9" t="s">
        <v>5</v>
      </c>
      <c r="D6" s="9" t="s">
        <v>5</v>
      </c>
      <c r="E6" s="10" t="s">
        <v>6</v>
      </c>
      <c r="F6" s="8" t="s">
        <v>55</v>
      </c>
      <c r="G6" s="10" t="s">
        <v>45</v>
      </c>
      <c r="H6" s="34" t="s">
        <v>58</v>
      </c>
      <c r="I6" s="34" t="s">
        <v>59</v>
      </c>
      <c r="J6" s="51"/>
      <c r="K6" s="63" t="s">
        <v>48</v>
      </c>
    </row>
    <row r="7" spans="1:11" ht="15.75">
      <c r="A7" s="50"/>
      <c r="B7" s="46" t="s">
        <v>7</v>
      </c>
      <c r="C7" s="9" t="s">
        <v>8</v>
      </c>
      <c r="D7" s="9" t="s">
        <v>9</v>
      </c>
      <c r="E7" s="10"/>
      <c r="F7" s="8"/>
      <c r="G7" s="10" t="s">
        <v>46</v>
      </c>
      <c r="H7" s="34" t="s">
        <v>60</v>
      </c>
      <c r="I7" s="34" t="s">
        <v>60</v>
      </c>
      <c r="J7" s="51" t="s">
        <v>51</v>
      </c>
      <c r="K7" s="63" t="s">
        <v>49</v>
      </c>
    </row>
    <row r="8" spans="1:11" ht="15.75">
      <c r="A8" s="50"/>
      <c r="B8" s="47"/>
      <c r="C8" s="12"/>
      <c r="D8" s="12"/>
      <c r="E8" s="13"/>
      <c r="F8" s="11"/>
      <c r="G8" s="28" t="s">
        <v>43</v>
      </c>
      <c r="H8" s="35" t="s">
        <v>54</v>
      </c>
      <c r="I8" s="35" t="s">
        <v>54</v>
      </c>
      <c r="J8" s="50"/>
      <c r="K8" s="64" t="s">
        <v>50</v>
      </c>
    </row>
    <row r="9" spans="1:12" ht="15.75">
      <c r="A9" s="52"/>
      <c r="B9" s="48" t="s">
        <v>0</v>
      </c>
      <c r="C9" s="6" t="s">
        <v>1</v>
      </c>
      <c r="D9" s="6" t="s">
        <v>2</v>
      </c>
      <c r="E9" s="7" t="s">
        <v>3</v>
      </c>
      <c r="F9" s="5" t="s">
        <v>4</v>
      </c>
      <c r="G9" s="7" t="s">
        <v>26</v>
      </c>
      <c r="H9" s="36" t="s">
        <v>53</v>
      </c>
      <c r="I9" s="36" t="s">
        <v>38</v>
      </c>
      <c r="J9" s="68" t="s">
        <v>52</v>
      </c>
      <c r="K9" s="65" t="s">
        <v>65</v>
      </c>
      <c r="L9" s="43" t="s">
        <v>66</v>
      </c>
    </row>
    <row r="10" spans="1:12" ht="30" customHeight="1">
      <c r="A10" s="54" t="s">
        <v>10</v>
      </c>
      <c r="B10" s="55">
        <f>+'[1]Mg2000-1^'!B11</f>
        <v>50</v>
      </c>
      <c r="C10" s="56">
        <f aca="true" t="shared" si="0" ref="C10:C26">ROUND(+B10*$E$32,2)</f>
        <v>629490</v>
      </c>
      <c r="D10" s="56">
        <f aca="true" t="shared" si="1" ref="D10:D25">ROUND(B10*$E$33/$B$27,2)</f>
        <v>406739.73</v>
      </c>
      <c r="E10" s="56">
        <f>+C10+D10</f>
        <v>1036229.73</v>
      </c>
      <c r="F10" s="56">
        <f>+'[2]RiepilogoRecuperi'!K11</f>
        <v>2155777.73</v>
      </c>
      <c r="G10" s="56">
        <f>+C10-F10</f>
        <v>-1526287.73</v>
      </c>
      <c r="H10" s="56">
        <f>ROUND(IF(G10&lt;0,D10),0)</f>
        <v>406740</v>
      </c>
      <c r="I10" s="56">
        <f>ROUND(IF(G10&gt;0,G10+D10),0)</f>
        <v>0</v>
      </c>
      <c r="J10" s="67">
        <f>+H10+I10</f>
        <v>406740</v>
      </c>
      <c r="K10" s="56">
        <f>SUMIF(G10,"&lt;0")</f>
        <v>-1526287.73</v>
      </c>
      <c r="L10" s="15">
        <f aca="true" t="shared" si="2" ref="L10:L26">+J10*$A$41/1000000</f>
        <v>787.5584597999999</v>
      </c>
    </row>
    <row r="11" spans="1:12" ht="30" customHeight="1">
      <c r="A11" s="54" t="s">
        <v>11</v>
      </c>
      <c r="B11" s="55">
        <f>+'[1]Mg2000-1^'!B13</f>
        <v>150</v>
      </c>
      <c r="C11" s="56">
        <f t="shared" si="0"/>
        <v>1888470</v>
      </c>
      <c r="D11" s="56">
        <f t="shared" si="1"/>
        <v>1220219.2</v>
      </c>
      <c r="E11" s="56">
        <f aca="true" t="shared" si="3" ref="E11:E26">+C11+D11</f>
        <v>3108689.2</v>
      </c>
      <c r="F11" s="56">
        <f>+'[2]RiepilogoRecuperi'!K13</f>
        <v>5712245.64</v>
      </c>
      <c r="G11" s="56">
        <f aca="true" t="shared" si="4" ref="G11:G26">+C11-F11</f>
        <v>-3823775.6399999997</v>
      </c>
      <c r="H11" s="56">
        <f aca="true" t="shared" si="5" ref="H11:H26">ROUND(IF(G11&lt;0,D11),0)</f>
        <v>1220219</v>
      </c>
      <c r="I11" s="56">
        <f aca="true" t="shared" si="6" ref="I11:I26">ROUND(IF(G11&gt;0,G11+D11),0)</f>
        <v>0</v>
      </c>
      <c r="J11" s="57">
        <f aca="true" t="shared" si="7" ref="J11:J26">+H11+I11</f>
        <v>1220219</v>
      </c>
      <c r="K11" s="56">
        <f>SUMIF(G11,"&lt;0")</f>
        <v>-3823775.6399999997</v>
      </c>
      <c r="L11" s="15">
        <f t="shared" si="2"/>
        <v>2362.67344313</v>
      </c>
    </row>
    <row r="12" spans="1:12" ht="30" customHeight="1">
      <c r="A12" s="54" t="s">
        <v>12</v>
      </c>
      <c r="B12" s="55">
        <f>+'[1]Mg2000-1^'!B16</f>
        <v>160</v>
      </c>
      <c r="C12" s="56">
        <f t="shared" si="0"/>
        <v>2014368</v>
      </c>
      <c r="D12" s="56">
        <f t="shared" si="1"/>
        <v>1301567.15</v>
      </c>
      <c r="E12" s="56">
        <f t="shared" si="3"/>
        <v>3315935.15</v>
      </c>
      <c r="F12" s="56">
        <f>+'[2]RiepilogoRecuperi'!K16</f>
        <v>3987726.01</v>
      </c>
      <c r="G12" s="56">
        <f t="shared" si="4"/>
        <v>-1973358.0099999998</v>
      </c>
      <c r="H12" s="56">
        <f t="shared" si="5"/>
        <v>1301567</v>
      </c>
      <c r="I12" s="56">
        <f t="shared" si="6"/>
        <v>0</v>
      </c>
      <c r="J12" s="57">
        <f t="shared" si="7"/>
        <v>1301567</v>
      </c>
      <c r="K12" s="56">
        <f>SUMIF(G12,"&lt;0")</f>
        <v>-1973358.0099999998</v>
      </c>
      <c r="L12" s="15">
        <f t="shared" si="2"/>
        <v>2520.18513509</v>
      </c>
    </row>
    <row r="13" spans="1:12" ht="34.5" customHeight="1">
      <c r="A13" s="54" t="s">
        <v>13</v>
      </c>
      <c r="B13" s="55">
        <f>+'[1]Mg2000-1^'!B18</f>
        <v>80</v>
      </c>
      <c r="C13" s="56">
        <f t="shared" si="0"/>
        <v>1007184</v>
      </c>
      <c r="D13" s="56">
        <f t="shared" si="1"/>
        <v>650783.57</v>
      </c>
      <c r="E13" s="56">
        <f t="shared" si="3"/>
        <v>1657967.5699999998</v>
      </c>
      <c r="F13" s="56">
        <f>+'[2]RiepilogoRecuperi'!K18</f>
        <v>1133295.67</v>
      </c>
      <c r="G13" s="56">
        <f>+C13-F13</f>
        <v>-126111.66999999993</v>
      </c>
      <c r="H13" s="56">
        <f t="shared" si="5"/>
        <v>650784</v>
      </c>
      <c r="I13" s="56">
        <f t="shared" si="6"/>
        <v>0</v>
      </c>
      <c r="J13" s="57">
        <f t="shared" si="7"/>
        <v>650784</v>
      </c>
      <c r="K13" s="56">
        <f>SUMIF(G13,"&lt;0")</f>
        <v>-126111.66999999993</v>
      </c>
      <c r="L13" s="15">
        <f t="shared" si="2"/>
        <v>1260.09353568</v>
      </c>
    </row>
    <row r="14" spans="1:12" ht="33" customHeight="1">
      <c r="A14" s="54" t="s">
        <v>14</v>
      </c>
      <c r="B14" s="55">
        <f>+'[1]Mg2000-1^'!B19</f>
        <v>80</v>
      </c>
      <c r="C14" s="56">
        <f t="shared" si="0"/>
        <v>1007184</v>
      </c>
      <c r="D14" s="56">
        <f t="shared" si="1"/>
        <v>650783.57</v>
      </c>
      <c r="E14" s="56">
        <f t="shared" si="3"/>
        <v>1657967.5699999998</v>
      </c>
      <c r="F14" s="56">
        <f>+'[2]RiepilogoRecuperi'!K19</f>
        <v>1490016.01</v>
      </c>
      <c r="G14" s="56">
        <f>+C14-F14</f>
        <v>-482832.01</v>
      </c>
      <c r="H14" s="56">
        <f t="shared" si="5"/>
        <v>650784</v>
      </c>
      <c r="I14" s="56">
        <f t="shared" si="6"/>
        <v>0</v>
      </c>
      <c r="J14" s="57">
        <f t="shared" si="7"/>
        <v>650784</v>
      </c>
      <c r="K14" s="56">
        <f>SUMIF(G14,"&lt;0")</f>
        <v>-482832.01</v>
      </c>
      <c r="L14" s="15">
        <f t="shared" si="2"/>
        <v>1260.09353568</v>
      </c>
    </row>
    <row r="15" spans="1:12" ht="30" customHeight="1">
      <c r="A15" s="54" t="s">
        <v>15</v>
      </c>
      <c r="B15" s="55">
        <f>+'[1]Mg2000-1^'!B20</f>
        <v>130</v>
      </c>
      <c r="C15" s="56">
        <f t="shared" si="0"/>
        <v>1636674</v>
      </c>
      <c r="D15" s="56">
        <f t="shared" si="1"/>
        <v>1057523.31</v>
      </c>
      <c r="E15" s="56">
        <f t="shared" si="3"/>
        <v>2694197.31</v>
      </c>
      <c r="F15" s="56">
        <f>+'[2]RiepilogoRecuperi'!K20</f>
        <v>937409.56</v>
      </c>
      <c r="G15" s="56">
        <f>+C15-F15</f>
        <v>699264.44</v>
      </c>
      <c r="H15" s="56">
        <f t="shared" si="5"/>
        <v>0</v>
      </c>
      <c r="I15" s="56">
        <f t="shared" si="6"/>
        <v>1756788</v>
      </c>
      <c r="J15" s="57">
        <f t="shared" si="7"/>
        <v>1756788</v>
      </c>
      <c r="K15" s="56">
        <f aca="true" t="shared" si="8" ref="K15:K20">SUMIF(G15,"&lt;0")</f>
        <v>0</v>
      </c>
      <c r="L15" s="15">
        <f t="shared" si="2"/>
        <v>3401.61590076</v>
      </c>
    </row>
    <row r="16" spans="1:12" ht="30" customHeight="1">
      <c r="A16" s="54" t="s">
        <v>16</v>
      </c>
      <c r="B16" s="55">
        <f>+'[1]Mg2000-1^'!B21</f>
        <v>80</v>
      </c>
      <c r="C16" s="56">
        <f t="shared" si="0"/>
        <v>1007184</v>
      </c>
      <c r="D16" s="56">
        <f t="shared" si="1"/>
        <v>650783.57</v>
      </c>
      <c r="E16" s="56">
        <f t="shared" si="3"/>
        <v>1657967.5699999998</v>
      </c>
      <c r="F16" s="56">
        <f>+'[2]RiepilogoRecuperi'!K21</f>
        <v>432915.73</v>
      </c>
      <c r="G16" s="56">
        <f t="shared" si="4"/>
        <v>574268.27</v>
      </c>
      <c r="H16" s="56">
        <f t="shared" si="5"/>
        <v>0</v>
      </c>
      <c r="I16" s="56">
        <f t="shared" si="6"/>
        <v>1225052</v>
      </c>
      <c r="J16" s="57">
        <f t="shared" si="7"/>
        <v>1225052</v>
      </c>
      <c r="K16" s="56">
        <f t="shared" si="8"/>
        <v>0</v>
      </c>
      <c r="L16" s="15">
        <f t="shared" si="2"/>
        <v>2372.03143604</v>
      </c>
    </row>
    <row r="17" spans="1:12" ht="30" customHeight="1">
      <c r="A17" s="54" t="s">
        <v>17</v>
      </c>
      <c r="B17" s="55">
        <f>+'[1]Mg2000-1^'!B22</f>
        <v>60</v>
      </c>
      <c r="C17" s="56">
        <f t="shared" si="0"/>
        <v>755388</v>
      </c>
      <c r="D17" s="56">
        <f t="shared" si="1"/>
        <v>488087.68</v>
      </c>
      <c r="E17" s="56">
        <f t="shared" si="3"/>
        <v>1243475.68</v>
      </c>
      <c r="F17" s="56">
        <f>+'[2]RiepilogoRecuperi'!K22</f>
        <v>677904.3</v>
      </c>
      <c r="G17" s="56">
        <f t="shared" si="4"/>
        <v>77483.69999999995</v>
      </c>
      <c r="H17" s="56">
        <f t="shared" si="5"/>
        <v>0</v>
      </c>
      <c r="I17" s="56">
        <f t="shared" si="6"/>
        <v>565571</v>
      </c>
      <c r="J17" s="57">
        <f t="shared" si="7"/>
        <v>565571</v>
      </c>
      <c r="K17" s="56">
        <f t="shared" si="8"/>
        <v>0</v>
      </c>
      <c r="L17" s="15">
        <f t="shared" si="2"/>
        <v>1095.09816017</v>
      </c>
    </row>
    <row r="18" spans="1:12" ht="31.5" customHeight="1">
      <c r="A18" s="54" t="s">
        <v>18</v>
      </c>
      <c r="B18" s="55">
        <f>+'[1]Mg2000-1^'!B23</f>
        <v>180</v>
      </c>
      <c r="C18" s="56">
        <f t="shared" si="0"/>
        <v>2266164</v>
      </c>
      <c r="D18" s="56">
        <f t="shared" si="1"/>
        <v>1464263.04</v>
      </c>
      <c r="E18" s="56">
        <f t="shared" si="3"/>
        <v>3730427.04</v>
      </c>
      <c r="F18" s="56">
        <f>+'[2]RiepilogoRecuperi'!K23</f>
        <v>5331124.15</v>
      </c>
      <c r="G18" s="56">
        <f t="shared" si="4"/>
        <v>-3064960.1500000004</v>
      </c>
      <c r="H18" s="56">
        <f t="shared" si="5"/>
        <v>1464263</v>
      </c>
      <c r="I18" s="56">
        <f t="shared" si="6"/>
        <v>0</v>
      </c>
      <c r="J18" s="57">
        <f t="shared" si="7"/>
        <v>1464263</v>
      </c>
      <c r="K18" s="56">
        <f t="shared" si="8"/>
        <v>-3064960.1500000004</v>
      </c>
      <c r="L18" s="15">
        <f t="shared" si="2"/>
        <v>2835.2085190099997</v>
      </c>
    </row>
    <row r="19" spans="1:12" ht="28.5" customHeight="1">
      <c r="A19" s="54" t="s">
        <v>19</v>
      </c>
      <c r="B19" s="55">
        <f>+'[1]Mg2000-1^'!B24</f>
        <v>19</v>
      </c>
      <c r="C19" s="56">
        <f t="shared" si="0"/>
        <v>239206.2</v>
      </c>
      <c r="D19" s="56">
        <f t="shared" si="1"/>
        <v>154561.1</v>
      </c>
      <c r="E19" s="56">
        <f t="shared" si="3"/>
        <v>393767.30000000005</v>
      </c>
      <c r="F19" s="56">
        <f>+'[2]RiepilogoRecuperi'!K24</f>
        <v>1168220.5</v>
      </c>
      <c r="G19" s="56">
        <f t="shared" si="4"/>
        <v>-929014.3</v>
      </c>
      <c r="H19" s="56">
        <f t="shared" si="5"/>
        <v>154561</v>
      </c>
      <c r="I19" s="56">
        <f t="shared" si="6"/>
        <v>0</v>
      </c>
      <c r="J19" s="57">
        <f t="shared" si="7"/>
        <v>154561</v>
      </c>
      <c r="K19" s="56">
        <f t="shared" si="8"/>
        <v>-929014.3</v>
      </c>
      <c r="L19" s="15">
        <f t="shared" si="2"/>
        <v>299.27182746999995</v>
      </c>
    </row>
    <row r="20" spans="1:12" ht="30.75" customHeight="1">
      <c r="A20" s="54" t="s">
        <v>20</v>
      </c>
      <c r="B20" s="55">
        <f>+'[1]Mg2000-1^'!B25</f>
        <v>30</v>
      </c>
      <c r="C20" s="56">
        <f t="shared" si="0"/>
        <v>377694</v>
      </c>
      <c r="D20" s="56">
        <f t="shared" si="1"/>
        <v>244043.84</v>
      </c>
      <c r="E20" s="56">
        <f t="shared" si="3"/>
        <v>621737.84</v>
      </c>
      <c r="F20" s="56">
        <f>+'[2]RiepilogoRecuperi'!K25</f>
        <v>173427.71</v>
      </c>
      <c r="G20" s="56">
        <f>+C20-F20</f>
        <v>204266.29</v>
      </c>
      <c r="H20" s="56">
        <f t="shared" si="5"/>
        <v>0</v>
      </c>
      <c r="I20" s="56">
        <f t="shared" si="6"/>
        <v>448310</v>
      </c>
      <c r="J20" s="57">
        <f t="shared" si="7"/>
        <v>448310</v>
      </c>
      <c r="K20" s="56">
        <f t="shared" si="8"/>
        <v>0</v>
      </c>
      <c r="L20" s="15">
        <f t="shared" si="2"/>
        <v>868.0492037</v>
      </c>
    </row>
    <row r="21" spans="1:12" ht="30.75" customHeight="1">
      <c r="A21" s="54" t="s">
        <v>21</v>
      </c>
      <c r="B21" s="55">
        <f>+'[1]Mg2000-1^'!B26</f>
        <v>120</v>
      </c>
      <c r="C21" s="56">
        <f t="shared" si="0"/>
        <v>1510776</v>
      </c>
      <c r="D21" s="56">
        <f t="shared" si="1"/>
        <v>976175.36</v>
      </c>
      <c r="E21" s="56">
        <f t="shared" si="3"/>
        <v>2486951.36</v>
      </c>
      <c r="F21" s="56">
        <f>+'[2]RiepilogoRecuperi'!K26</f>
        <v>414929.87</v>
      </c>
      <c r="G21" s="56">
        <f t="shared" si="4"/>
        <v>1095846.13</v>
      </c>
      <c r="H21" s="56">
        <f t="shared" si="5"/>
        <v>0</v>
      </c>
      <c r="I21" s="56">
        <f t="shared" si="6"/>
        <v>2072021</v>
      </c>
      <c r="J21" s="57">
        <f t="shared" si="7"/>
        <v>2072021</v>
      </c>
      <c r="K21" s="56">
        <f aca="true" t="shared" si="9" ref="K21:K26">SUMIF(G21,"&lt;0")</f>
        <v>0</v>
      </c>
      <c r="L21" s="15">
        <f t="shared" si="2"/>
        <v>4011.99210167</v>
      </c>
    </row>
    <row r="22" spans="1:12" ht="28.5" customHeight="1">
      <c r="A22" s="54" t="s">
        <v>22</v>
      </c>
      <c r="B22" s="55">
        <f>+'[1]Mg2000-1^'!B27</f>
        <v>150</v>
      </c>
      <c r="C22" s="56">
        <f t="shared" si="0"/>
        <v>1888470</v>
      </c>
      <c r="D22" s="56">
        <f t="shared" si="1"/>
        <v>1220219.2</v>
      </c>
      <c r="E22" s="56">
        <f t="shared" si="3"/>
        <v>3108689.2</v>
      </c>
      <c r="F22" s="56">
        <f>+'[2]RiepilogoRecuperi'!K27</f>
        <v>1479276.03</v>
      </c>
      <c r="G22" s="56">
        <f>+C22-F22</f>
        <v>409193.97</v>
      </c>
      <c r="H22" s="56">
        <f t="shared" si="5"/>
        <v>0</v>
      </c>
      <c r="I22" s="56">
        <f t="shared" si="6"/>
        <v>1629413</v>
      </c>
      <c r="J22" s="57">
        <f t="shared" si="7"/>
        <v>1629413</v>
      </c>
      <c r="K22" s="56">
        <f t="shared" si="9"/>
        <v>0</v>
      </c>
      <c r="L22" s="15">
        <f t="shared" si="2"/>
        <v>3154.9835095099997</v>
      </c>
    </row>
    <row r="23" spans="1:12" ht="30.75" customHeight="1">
      <c r="A23" s="54" t="s">
        <v>23</v>
      </c>
      <c r="B23" s="55">
        <f>+'[1]Mg2000-1^'!B28</f>
        <v>50</v>
      </c>
      <c r="C23" s="56">
        <f t="shared" si="0"/>
        <v>629490</v>
      </c>
      <c r="D23" s="56">
        <f t="shared" si="1"/>
        <v>406739.73</v>
      </c>
      <c r="E23" s="56">
        <f t="shared" si="3"/>
        <v>1036229.73</v>
      </c>
      <c r="F23" s="56">
        <f>+'[2]RiepilogoRecuperi'!K28</f>
        <v>853077.67</v>
      </c>
      <c r="G23" s="56">
        <f t="shared" si="4"/>
        <v>-223587.67000000004</v>
      </c>
      <c r="H23" s="56">
        <f t="shared" si="5"/>
        <v>406740</v>
      </c>
      <c r="I23" s="56">
        <f t="shared" si="6"/>
        <v>0</v>
      </c>
      <c r="J23" s="57">
        <f t="shared" si="7"/>
        <v>406740</v>
      </c>
      <c r="K23" s="56">
        <f t="shared" si="9"/>
        <v>-223587.67000000004</v>
      </c>
      <c r="L23" s="15">
        <f t="shared" si="2"/>
        <v>787.5584597999999</v>
      </c>
    </row>
    <row r="24" spans="1:12" ht="28.5" customHeight="1">
      <c r="A24" s="54" t="s">
        <v>24</v>
      </c>
      <c r="B24" s="55">
        <f>+'[1]Mg2000-1^'!B29</f>
        <v>283</v>
      </c>
      <c r="C24" s="56">
        <f t="shared" si="0"/>
        <v>3562913.4</v>
      </c>
      <c r="D24" s="56">
        <f t="shared" si="1"/>
        <v>2302146.89</v>
      </c>
      <c r="E24" s="56">
        <f t="shared" si="3"/>
        <v>5865060.29</v>
      </c>
      <c r="F24" s="56">
        <f>+'[2]RiepilogoRecuperi'!K29</f>
        <v>-4146.55</v>
      </c>
      <c r="G24" s="56">
        <f t="shared" si="4"/>
        <v>3567059.9499999997</v>
      </c>
      <c r="H24" s="56">
        <f t="shared" si="5"/>
        <v>0</v>
      </c>
      <c r="I24" s="56">
        <f t="shared" si="6"/>
        <v>5869207</v>
      </c>
      <c r="J24" s="57">
        <f t="shared" si="7"/>
        <v>5869207</v>
      </c>
      <c r="K24" s="56">
        <f t="shared" si="9"/>
        <v>0</v>
      </c>
      <c r="L24" s="15">
        <f t="shared" si="2"/>
        <v>11364.36943789</v>
      </c>
    </row>
    <row r="25" spans="1:12" ht="27.75" customHeight="1">
      <c r="A25" s="54" t="s">
        <v>30</v>
      </c>
      <c r="B25" s="55">
        <f>ROUND(+B38*0.575,0)</f>
        <v>204</v>
      </c>
      <c r="C25" s="56">
        <f t="shared" si="0"/>
        <v>2568319.2</v>
      </c>
      <c r="D25" s="56">
        <f t="shared" si="1"/>
        <v>1659498.11</v>
      </c>
      <c r="E25" s="56">
        <f t="shared" si="3"/>
        <v>4227817.3100000005</v>
      </c>
      <c r="F25" s="56">
        <f>+'[2]RiepilogoRecuperi'!K30</f>
        <v>0</v>
      </c>
      <c r="G25" s="56">
        <f t="shared" si="4"/>
        <v>2568319.2</v>
      </c>
      <c r="H25" s="56">
        <f t="shared" si="5"/>
        <v>0</v>
      </c>
      <c r="I25" s="56">
        <f t="shared" si="6"/>
        <v>4227817</v>
      </c>
      <c r="J25" s="57">
        <f t="shared" si="7"/>
        <v>4227817</v>
      </c>
      <c r="K25" s="56">
        <f t="shared" si="9"/>
        <v>0</v>
      </c>
      <c r="L25" s="15">
        <f t="shared" si="2"/>
        <v>8186.19522259</v>
      </c>
    </row>
    <row r="26" spans="1:12" ht="33" customHeight="1">
      <c r="A26" s="54" t="s">
        <v>31</v>
      </c>
      <c r="B26" s="55">
        <f>ROUND(+B39*0.71,0)</f>
        <v>43</v>
      </c>
      <c r="C26" s="56">
        <f t="shared" si="0"/>
        <v>541361.4</v>
      </c>
      <c r="D26" s="56">
        <f>ROUND(B26*$E$33/$B$27,2)+0.01</f>
        <v>349796.18</v>
      </c>
      <c r="E26" s="56">
        <f t="shared" si="3"/>
        <v>891157.5800000001</v>
      </c>
      <c r="F26" s="56">
        <f>+'[2]RiepilogoRecuperi'!K31</f>
        <v>1822793.07</v>
      </c>
      <c r="G26" s="56">
        <f t="shared" si="4"/>
        <v>-1281431.67</v>
      </c>
      <c r="H26" s="56">
        <f t="shared" si="5"/>
        <v>349796</v>
      </c>
      <c r="I26" s="56">
        <f t="shared" si="6"/>
        <v>0</v>
      </c>
      <c r="J26" s="57">
        <f t="shared" si="7"/>
        <v>349796</v>
      </c>
      <c r="K26" s="56">
        <f t="shared" si="9"/>
        <v>-1281431.67</v>
      </c>
      <c r="L26" s="15">
        <f t="shared" si="2"/>
        <v>677.2995009199999</v>
      </c>
    </row>
    <row r="27" spans="1:12" ht="51" customHeight="1" thickBot="1">
      <c r="A27" s="59" t="s">
        <v>25</v>
      </c>
      <c r="B27" s="60">
        <f aca="true" t="shared" si="10" ref="B27:L27">SUM(B10:B26)</f>
        <v>1869</v>
      </c>
      <c r="C27" s="61">
        <f t="shared" si="10"/>
        <v>23530336.199999996</v>
      </c>
      <c r="D27" s="61">
        <f t="shared" si="10"/>
        <v>15203931.229999999</v>
      </c>
      <c r="E27" s="61">
        <f t="shared" si="10"/>
        <v>38734267.43</v>
      </c>
      <c r="F27" s="61">
        <f t="shared" si="10"/>
        <v>27765993.100000005</v>
      </c>
      <c r="G27" s="61">
        <f t="shared" si="10"/>
        <v>-4235656.900000003</v>
      </c>
      <c r="H27" s="61">
        <f t="shared" si="10"/>
        <v>6605454</v>
      </c>
      <c r="I27" s="61">
        <f t="shared" si="10"/>
        <v>17794179</v>
      </c>
      <c r="J27" s="58">
        <f t="shared" si="10"/>
        <v>24399633</v>
      </c>
      <c r="K27" s="61">
        <f t="shared" si="10"/>
        <v>-13431358.85</v>
      </c>
      <c r="L27" s="53">
        <f t="shared" si="10"/>
        <v>47244.27738891</v>
      </c>
    </row>
    <row r="28" spans="2:10" ht="15.75" hidden="1">
      <c r="B28" s="4"/>
      <c r="C28" s="19"/>
      <c r="D28" s="19"/>
      <c r="E28" s="19"/>
      <c r="F28" s="4"/>
      <c r="G28" s="19"/>
      <c r="H28" s="19"/>
      <c r="I28" s="19"/>
      <c r="J28" s="19"/>
    </row>
    <row r="29" spans="1:10" ht="15.75" hidden="1">
      <c r="A29" s="3" t="s">
        <v>61</v>
      </c>
      <c r="B29" s="20" t="s">
        <v>34</v>
      </c>
      <c r="C29" s="4">
        <v>75000000000</v>
      </c>
      <c r="D29" s="21" t="s">
        <v>64</v>
      </c>
      <c r="E29" s="17">
        <f>ROUND(+C29/$A$41,2)</f>
        <v>38734267.43</v>
      </c>
      <c r="F29" s="20"/>
      <c r="G29" s="17"/>
      <c r="H29" s="17"/>
      <c r="I29" s="17"/>
      <c r="J29" s="17"/>
    </row>
    <row r="30" spans="1:10" ht="15.75" hidden="1">
      <c r="A30" s="1" t="s">
        <v>35</v>
      </c>
      <c r="B30" s="20" t="s">
        <v>34</v>
      </c>
      <c r="C30" s="24">
        <v>22467500</v>
      </c>
      <c r="D30" s="21" t="s">
        <v>64</v>
      </c>
      <c r="E30" s="17">
        <f>ROUND(+C30/$A$41,2)</f>
        <v>11603.5</v>
      </c>
      <c r="F30" s="20"/>
      <c r="G30" s="17"/>
      <c r="H30" s="17"/>
      <c r="I30" s="17"/>
      <c r="J30" s="17"/>
    </row>
    <row r="31" spans="1:10" ht="15.75" hidden="1">
      <c r="A31" s="3" t="s">
        <v>36</v>
      </c>
      <c r="B31" s="20"/>
      <c r="D31" s="21"/>
      <c r="E31" s="23">
        <v>0.085</v>
      </c>
      <c r="F31" s="20"/>
      <c r="G31" s="23"/>
      <c r="H31" s="23"/>
      <c r="I31" s="23"/>
      <c r="J31" s="23"/>
    </row>
    <row r="32" spans="1:10" ht="15.75" hidden="1">
      <c r="A32" s="18" t="s">
        <v>62</v>
      </c>
      <c r="B32" s="20"/>
      <c r="C32" s="16"/>
      <c r="D32" s="22" t="s">
        <v>27</v>
      </c>
      <c r="E32" s="17">
        <f>ROUND(+E30*1.085,2)</f>
        <v>12589.8</v>
      </c>
      <c r="F32" s="20"/>
      <c r="G32" s="17"/>
      <c r="H32" s="17"/>
      <c r="I32" s="17"/>
      <c r="J32" s="17"/>
    </row>
    <row r="33" spans="1:10" ht="15.75" hidden="1">
      <c r="A33" s="2" t="s">
        <v>42</v>
      </c>
      <c r="B33" s="20"/>
      <c r="C33" s="16"/>
      <c r="D33" s="22" t="s">
        <v>27</v>
      </c>
      <c r="E33" s="17">
        <f>+E29-C27</f>
        <v>15203931.230000004</v>
      </c>
      <c r="F33" s="20"/>
      <c r="G33" s="17"/>
      <c r="H33" s="17"/>
      <c r="I33" s="17"/>
      <c r="J33" s="17"/>
    </row>
    <row r="34" spans="1:10" ht="15.75" hidden="1">
      <c r="A34" s="38" t="s">
        <v>63</v>
      </c>
      <c r="B34" s="20"/>
      <c r="C34" s="16"/>
      <c r="D34" s="22" t="s">
        <v>27</v>
      </c>
      <c r="E34" s="17">
        <f>+E33/B27</f>
        <v>8134.794665596578</v>
      </c>
      <c r="F34" s="20"/>
      <c r="G34" s="17"/>
      <c r="H34" s="17"/>
      <c r="I34" s="17"/>
      <c r="J34" s="17"/>
    </row>
    <row r="35" ht="15.75" hidden="1">
      <c r="A35" s="18"/>
    </row>
    <row r="36" spans="1:6" ht="15.75" hidden="1">
      <c r="A36" s="3" t="s">
        <v>33</v>
      </c>
      <c r="B36" s="3"/>
      <c r="F36" s="3"/>
    </row>
    <row r="37" spans="1:6" ht="15.75" hidden="1">
      <c r="A37" s="3" t="s">
        <v>32</v>
      </c>
      <c r="B37" s="19"/>
      <c r="F37" s="19"/>
    </row>
    <row r="38" spans="1:6" ht="15.75" hidden="1">
      <c r="A38" s="3" t="s">
        <v>28</v>
      </c>
      <c r="B38" s="14">
        <v>354</v>
      </c>
      <c r="F38" s="19"/>
    </row>
    <row r="39" spans="1:6" ht="15.75" hidden="1">
      <c r="A39" s="3" t="s">
        <v>29</v>
      </c>
      <c r="B39" s="14">
        <v>60</v>
      </c>
      <c r="F39" s="19"/>
    </row>
    <row r="40" ht="15.75" hidden="1"/>
    <row r="41" ht="15.75" hidden="1">
      <c r="A41" s="3">
        <v>1936.27</v>
      </c>
    </row>
  </sheetData>
  <printOptions/>
  <pageMargins left="0.56" right="0" top="0.55" bottom="0" header="0.25" footer="0"/>
  <pageSetup fitToHeight="1" fitToWidth="1" horizontalDpi="300" verticalDpi="3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FINSIEL</dc:creator>
  <cp:keywords/>
  <dc:description/>
  <cp:lastModifiedBy>ValentiniC</cp:lastModifiedBy>
  <cp:lastPrinted>2002-12-20T13:05:51Z</cp:lastPrinted>
  <dcterms:created xsi:type="dcterms:W3CDTF">2000-04-05T12:43:00Z</dcterms:created>
  <dcterms:modified xsi:type="dcterms:W3CDTF">2002-12-20T13:06:23Z</dcterms:modified>
  <cp:category/>
  <cp:version/>
  <cp:contentType/>
  <cp:contentStatus/>
</cp:coreProperties>
</file>